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G:\.shortcut-targets-by-id\1uyyI0hb-NDLL2ZnL-zTBut4hehDwaj8m\2A - CREA - Area Empresa\Herramientas\2. Portfolio\"/>
    </mc:Choice>
  </mc:AlternateContent>
  <xr:revisionPtr revIDLastSave="0" documentId="13_ncr:1_{A316D219-EE35-4179-8CDB-4DCC0A632029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Instructivo" sheetId="4" r:id="rId1"/>
    <sheet name="Portfolio" sheetId="1" r:id="rId2"/>
    <sheet name="Riesgo" sheetId="3" r:id="rId3"/>
    <sheet name="Tablero" sheetId="2" r:id="rId4"/>
  </sheet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3" i="1" l="1" a="1"/>
  <c r="M43" i="1" s="1"/>
  <c r="AQ48" i="1"/>
  <c r="AP48" i="1"/>
  <c r="AO48" i="1"/>
  <c r="AN48" i="1"/>
  <c r="AM48" i="1"/>
  <c r="AQ47" i="1"/>
  <c r="AP47" i="1"/>
  <c r="AO47" i="1"/>
  <c r="AN47" i="1"/>
  <c r="AM47" i="1"/>
  <c r="AQ46" i="1"/>
  <c r="AP46" i="1"/>
  <c r="AO46" i="1"/>
  <c r="AN46" i="1"/>
  <c r="AM46" i="1"/>
  <c r="AQ45" i="1"/>
  <c r="AP45" i="1"/>
  <c r="AO45" i="1"/>
  <c r="AN45" i="1"/>
  <c r="AM45" i="1"/>
  <c r="AQ44" i="1"/>
  <c r="AP44" i="1"/>
  <c r="AO44" i="1"/>
  <c r="AN44" i="1"/>
  <c r="AM44" i="1"/>
  <c r="AQ43" i="1"/>
  <c r="AP43" i="1"/>
  <c r="AO43" i="1"/>
  <c r="AN43" i="1"/>
  <c r="AM43" i="1"/>
  <c r="AQ42" i="1"/>
  <c r="AP42" i="1"/>
  <c r="AO42" i="1"/>
  <c r="AN42" i="1"/>
  <c r="AM42" i="1"/>
  <c r="AQ41" i="1"/>
  <c r="AP41" i="1"/>
  <c r="AO41" i="1"/>
  <c r="AN41" i="1"/>
  <c r="AM41" i="1"/>
  <c r="AQ40" i="1"/>
  <c r="AP40" i="1"/>
  <c r="AO40" i="1"/>
  <c r="AN40" i="1"/>
  <c r="AM40" i="1"/>
  <c r="AQ39" i="1"/>
  <c r="AP39" i="1"/>
  <c r="AO39" i="1"/>
  <c r="AN39" i="1"/>
  <c r="AM39" i="1"/>
  <c r="AQ38" i="1"/>
  <c r="AP38" i="1"/>
  <c r="AO38" i="1"/>
  <c r="AN38" i="1"/>
  <c r="AM38" i="1"/>
  <c r="AQ37" i="1"/>
  <c r="AP37" i="1"/>
  <c r="AO37" i="1"/>
  <c r="AN37" i="1"/>
  <c r="AM37" i="1"/>
  <c r="AQ36" i="1"/>
  <c r="AP36" i="1"/>
  <c r="AO36" i="1"/>
  <c r="AN36" i="1"/>
  <c r="AM36" i="1"/>
  <c r="AQ35" i="1"/>
  <c r="AP35" i="1"/>
  <c r="AO35" i="1"/>
  <c r="AN35" i="1"/>
  <c r="AM35" i="1"/>
  <c r="AQ34" i="1"/>
  <c r="AP34" i="1"/>
  <c r="AO34" i="1"/>
  <c r="AN34" i="1"/>
  <c r="AM34" i="1"/>
  <c r="AQ33" i="1"/>
  <c r="AP33" i="1"/>
  <c r="AO33" i="1"/>
  <c r="AN33" i="1"/>
  <c r="AM33" i="1"/>
  <c r="AQ32" i="1"/>
  <c r="AP32" i="1"/>
  <c r="AO32" i="1"/>
  <c r="AN32" i="1"/>
  <c r="AM32" i="1"/>
  <c r="AQ31" i="1"/>
  <c r="AP31" i="1"/>
  <c r="AO31" i="1"/>
  <c r="AN31" i="1"/>
  <c r="AM31" i="1"/>
  <c r="AQ30" i="1"/>
  <c r="AP30" i="1"/>
  <c r="AO30" i="1"/>
  <c r="AN30" i="1"/>
  <c r="AM30" i="1"/>
  <c r="AK13" i="1"/>
  <c r="AK10" i="1"/>
  <c r="AK11" i="1"/>
  <c r="AK43" i="1"/>
  <c r="AK42" i="1"/>
  <c r="U43" i="1"/>
  <c r="K43" i="1"/>
  <c r="U42" i="1"/>
  <c r="Q42" i="1" s="1"/>
  <c r="S42" i="1"/>
  <c r="P42" i="1"/>
  <c r="M42" i="1"/>
  <c r="N42" i="1" s="1"/>
  <c r="K42" i="1"/>
  <c r="F26" i="1"/>
  <c r="Q43" i="1" l="1"/>
  <c r="S43" i="1" s="1"/>
  <c r="N43" i="1"/>
  <c r="T42" i="1"/>
  <c r="AH26" i="1"/>
  <c r="AG26" i="1"/>
  <c r="AF26" i="1"/>
  <c r="AE26" i="1"/>
  <c r="AD26" i="1"/>
  <c r="F10" i="1"/>
  <c r="F13" i="1"/>
  <c r="F25" i="1" s="1"/>
  <c r="G30" i="2"/>
  <c r="F54" i="1"/>
  <c r="F52" i="1"/>
  <c r="G26" i="1"/>
  <c r="T43" i="1" l="1"/>
  <c r="P43" i="1"/>
  <c r="F12" i="1"/>
  <c r="H25" i="1"/>
  <c r="G25" i="1"/>
  <c r="F20" i="1" l="1"/>
  <c r="F21" i="1"/>
  <c r="AA13" i="1"/>
  <c r="G13" i="1" s="1"/>
  <c r="AA12" i="1"/>
  <c r="G12" i="1" s="1"/>
  <c r="AA11" i="1"/>
  <c r="G11" i="1" s="1"/>
  <c r="AA10" i="1"/>
  <c r="G10" i="1" s="1"/>
  <c r="AH13" i="1"/>
  <c r="AE13" i="1"/>
  <c r="AD13" i="1"/>
  <c r="AK19" i="1" l="1"/>
  <c r="AK18" i="1"/>
  <c r="AK17" i="1"/>
  <c r="AK16" i="1"/>
  <c r="AK15" i="1"/>
  <c r="AK14" i="1"/>
  <c r="AL19" i="1"/>
  <c r="AL18" i="1"/>
  <c r="AL17" i="1"/>
  <c r="AL16" i="1"/>
  <c r="AL15" i="1"/>
  <c r="AL14" i="1"/>
  <c r="AL13" i="1"/>
  <c r="AG29" i="1" l="1"/>
  <c r="AF29" i="1"/>
  <c r="AE29" i="1"/>
  <c r="AD29" i="1"/>
  <c r="AH29" i="1"/>
  <c r="AF36" i="1"/>
  <c r="AF35" i="1"/>
  <c r="AF34" i="1"/>
  <c r="AF33" i="1"/>
  <c r="AF32" i="1"/>
  <c r="AF24" i="1"/>
  <c r="AF23" i="1"/>
  <c r="AF22" i="1"/>
  <c r="AF21" i="1"/>
  <c r="AF20" i="1"/>
  <c r="M25" i="1"/>
  <c r="M26" i="1"/>
  <c r="M27" i="1"/>
  <c r="AH15" i="1"/>
  <c r="AE15" i="1"/>
  <c r="AD15" i="1"/>
  <c r="AH14" i="1"/>
  <c r="AE14" i="1"/>
  <c r="AD14" i="1"/>
  <c r="M15" i="1"/>
  <c r="M13" i="1"/>
  <c r="AH19" i="1"/>
  <c r="AE19" i="1"/>
  <c r="AD19" i="1"/>
  <c r="AH18" i="1"/>
  <c r="AE18" i="1"/>
  <c r="AD18" i="1"/>
  <c r="AH17" i="1"/>
  <c r="AE17" i="1"/>
  <c r="AD17" i="1"/>
  <c r="AH16" i="1"/>
  <c r="AE16" i="1"/>
  <c r="AD16" i="1"/>
  <c r="M19" i="1"/>
  <c r="M18" i="1"/>
  <c r="M17" i="1"/>
  <c r="M16" i="1"/>
  <c r="K64" i="2" l="1"/>
  <c r="I64" i="2"/>
  <c r="AL12" i="1"/>
  <c r="AL11" i="1"/>
  <c r="AL10" i="1"/>
  <c r="AK36" i="1"/>
  <c r="AH36" i="1"/>
  <c r="AG36" i="1"/>
  <c r="AE36" i="1"/>
  <c r="AD36" i="1"/>
  <c r="S36" i="1"/>
  <c r="P36" i="1"/>
  <c r="M36" i="1"/>
  <c r="K36" i="1"/>
  <c r="AK35" i="1"/>
  <c r="AH35" i="1"/>
  <c r="AG35" i="1"/>
  <c r="AE35" i="1"/>
  <c r="AD35" i="1"/>
  <c r="M35" i="1"/>
  <c r="K35" i="1"/>
  <c r="AK34" i="1"/>
  <c r="AH34" i="1"/>
  <c r="AG34" i="1"/>
  <c r="AE34" i="1"/>
  <c r="AD34" i="1"/>
  <c r="M34" i="1"/>
  <c r="K34" i="1"/>
  <c r="AK33" i="1"/>
  <c r="AH33" i="1"/>
  <c r="AG33" i="1"/>
  <c r="AE33" i="1"/>
  <c r="AD33" i="1"/>
  <c r="M33" i="1"/>
  <c r="K33" i="1"/>
  <c r="AK32" i="1"/>
  <c r="AH32" i="1"/>
  <c r="AG32" i="1"/>
  <c r="AE32" i="1"/>
  <c r="AD32" i="1"/>
  <c r="M32" i="1"/>
  <c r="K32" i="1"/>
  <c r="AK31" i="1"/>
  <c r="AH31" i="1"/>
  <c r="AE31" i="1"/>
  <c r="AD31" i="1"/>
  <c r="M31" i="1"/>
  <c r="K31" i="1"/>
  <c r="AK30" i="1"/>
  <c r="M30" i="1"/>
  <c r="K30" i="1"/>
  <c r="AD10" i="1"/>
  <c r="AD11" i="1"/>
  <c r="AD12" i="1"/>
  <c r="AH24" i="1"/>
  <c r="AG24" i="1"/>
  <c r="AE24" i="1"/>
  <c r="AD24" i="1"/>
  <c r="AH23" i="1"/>
  <c r="AG23" i="1"/>
  <c r="AE23" i="1"/>
  <c r="AD23" i="1"/>
  <c r="AH22" i="1"/>
  <c r="AG22" i="1"/>
  <c r="AE22" i="1"/>
  <c r="AD22" i="1"/>
  <c r="AH21" i="1"/>
  <c r="AG21" i="1"/>
  <c r="AE21" i="1"/>
  <c r="AD21" i="1"/>
  <c r="AH20" i="1"/>
  <c r="AG20" i="1"/>
  <c r="AE20" i="1"/>
  <c r="AD20" i="1"/>
  <c r="H49" i="1"/>
  <c r="K62" i="2" s="1"/>
  <c r="AK48" i="1"/>
  <c r="AK47" i="1"/>
  <c r="AK46" i="1"/>
  <c r="AK45" i="1"/>
  <c r="AK44" i="1"/>
  <c r="AK41" i="1"/>
  <c r="AK40" i="1"/>
  <c r="AK39" i="1"/>
  <c r="AK38" i="1"/>
  <c r="AK37" i="1"/>
  <c r="AK29" i="1"/>
  <c r="AK28" i="1"/>
  <c r="AK27" i="1"/>
  <c r="AK26" i="1"/>
  <c r="AK25" i="1"/>
  <c r="AK24" i="1"/>
  <c r="AK23" i="1"/>
  <c r="AK22" i="1"/>
  <c r="AK21" i="1"/>
  <c r="AK20" i="1"/>
  <c r="AK12" i="1"/>
  <c r="N31" i="1" l="1"/>
  <c r="P31" i="1" s="1"/>
  <c r="N32" i="1"/>
  <c r="P32" i="1" s="1"/>
  <c r="N36" i="1"/>
  <c r="N33" i="1"/>
  <c r="P33" i="1" s="1"/>
  <c r="N35" i="1"/>
  <c r="N30" i="1"/>
  <c r="P30" i="1" s="1"/>
  <c r="N34" i="1"/>
  <c r="P35" i="1"/>
  <c r="P34" i="1" l="1"/>
  <c r="AH9" i="1" l="1"/>
  <c r="AG9" i="1"/>
  <c r="AF9" i="1"/>
  <c r="AE9" i="1"/>
  <c r="AD9" i="1"/>
  <c r="AE27" i="1"/>
  <c r="AD27" i="1"/>
  <c r="AH12" i="1"/>
  <c r="AE12" i="1"/>
  <c r="AH11" i="1"/>
  <c r="AE11" i="1"/>
  <c r="AH10" i="1"/>
  <c r="AE10" i="1"/>
  <c r="S40" i="1"/>
  <c r="S48" i="1"/>
  <c r="S47" i="1"/>
  <c r="S46" i="1"/>
  <c r="P47" i="1"/>
  <c r="M47" i="1"/>
  <c r="K47" i="1"/>
  <c r="P46" i="1"/>
  <c r="M46" i="1"/>
  <c r="K46" i="1"/>
  <c r="M14" i="1"/>
  <c r="M41" i="1"/>
  <c r="K41" i="1"/>
  <c r="P40" i="1"/>
  <c r="M40" i="1"/>
  <c r="K40" i="1"/>
  <c r="M39" i="1"/>
  <c r="K39" i="1"/>
  <c r="M38" i="1"/>
  <c r="K38" i="1"/>
  <c r="M37" i="1"/>
  <c r="K37" i="1"/>
  <c r="M12" i="1"/>
  <c r="K48" i="1"/>
  <c r="K45" i="1"/>
  <c r="K44" i="1"/>
  <c r="U25" i="1" l="1"/>
  <c r="U17" i="1"/>
  <c r="U13" i="1"/>
  <c r="U15" i="1"/>
  <c r="U18" i="1"/>
  <c r="U16" i="1"/>
  <c r="U19" i="1"/>
  <c r="U45" i="1"/>
  <c r="Q45" i="1" s="1"/>
  <c r="S45" i="1" s="1"/>
  <c r="AM9" i="1"/>
  <c r="AH51" i="1"/>
  <c r="AQ9" i="1"/>
  <c r="AE51" i="1"/>
  <c r="AN9" i="1"/>
  <c r="AF51" i="1"/>
  <c r="AO9" i="1"/>
  <c r="AG51" i="1"/>
  <c r="AP9" i="1"/>
  <c r="U21" i="1"/>
  <c r="U23" i="1"/>
  <c r="U26" i="1"/>
  <c r="U41" i="1"/>
  <c r="Q41" i="1" s="1"/>
  <c r="U39" i="1"/>
  <c r="Q39" i="1" s="1"/>
  <c r="S39" i="1" s="1"/>
  <c r="U28" i="1"/>
  <c r="U12" i="1"/>
  <c r="U35" i="1"/>
  <c r="Q35" i="1" s="1"/>
  <c r="U30" i="1"/>
  <c r="Q30" i="1" s="1"/>
  <c r="U32" i="1"/>
  <c r="Q32" i="1" s="1"/>
  <c r="AD51" i="1"/>
  <c r="U36" i="1"/>
  <c r="Q36" i="1" s="1"/>
  <c r="T36" i="1" s="1"/>
  <c r="U34" i="1"/>
  <c r="Q34" i="1" s="1"/>
  <c r="U31" i="1"/>
  <c r="Q31" i="1" s="1"/>
  <c r="U33" i="1"/>
  <c r="Q33" i="1" s="1"/>
  <c r="U37" i="1"/>
  <c r="Q37" i="1" s="1"/>
  <c r="U47" i="1"/>
  <c r="Q47" i="1" s="1"/>
  <c r="U11" i="1"/>
  <c r="U20" i="1"/>
  <c r="U24" i="1"/>
  <c r="U27" i="1"/>
  <c r="U40" i="1"/>
  <c r="Q40" i="1" s="1"/>
  <c r="U46" i="1"/>
  <c r="Q46" i="1" s="1"/>
  <c r="U14" i="1"/>
  <c r="U22" i="1"/>
  <c r="U29" i="1"/>
  <c r="U38" i="1"/>
  <c r="Q38" i="1" s="1"/>
  <c r="S38" i="1" s="1"/>
  <c r="U44" i="1"/>
  <c r="Q44" i="1" s="1"/>
  <c r="S44" i="1" s="1"/>
  <c r="U48" i="1"/>
  <c r="Q48" i="1" s="1"/>
  <c r="U10" i="1"/>
  <c r="N41" i="1"/>
  <c r="P41" i="1" s="1"/>
  <c r="N46" i="1"/>
  <c r="N47" i="1"/>
  <c r="N40" i="1"/>
  <c r="N37" i="1"/>
  <c r="P37" i="1" s="1"/>
  <c r="N38" i="1"/>
  <c r="N39" i="1"/>
  <c r="S37" i="1" l="1"/>
  <c r="K15" i="1"/>
  <c r="Q15" i="1" s="1"/>
  <c r="S15" i="1" s="1"/>
  <c r="K14" i="1"/>
  <c r="N14" i="1" s="1"/>
  <c r="P14" i="1" s="1"/>
  <c r="K13" i="1"/>
  <c r="K17" i="1"/>
  <c r="K16" i="1"/>
  <c r="Q16" i="1" s="1"/>
  <c r="S16" i="1" s="1"/>
  <c r="K19" i="1"/>
  <c r="K18" i="1"/>
  <c r="N17" i="1"/>
  <c r="T47" i="1"/>
  <c r="S33" i="1"/>
  <c r="T33" i="1"/>
  <c r="S35" i="1"/>
  <c r="T35" i="1"/>
  <c r="S31" i="1"/>
  <c r="T31" i="1"/>
  <c r="S32" i="1"/>
  <c r="T32" i="1"/>
  <c r="S34" i="1"/>
  <c r="T34" i="1"/>
  <c r="S30" i="1"/>
  <c r="T30" i="1"/>
  <c r="T46" i="1"/>
  <c r="T40" i="1"/>
  <c r="P38" i="1"/>
  <c r="T38" i="1"/>
  <c r="P39" i="1"/>
  <c r="T39" i="1"/>
  <c r="T37" i="1"/>
  <c r="S41" i="1"/>
  <c r="T41" i="1"/>
  <c r="N16" i="1" l="1"/>
  <c r="T16" i="1" s="1"/>
  <c r="Q13" i="1"/>
  <c r="S13" i="1" s="1"/>
  <c r="Q18" i="1"/>
  <c r="S18" i="1" s="1"/>
  <c r="AQ18" i="1"/>
  <c r="AM18" i="1"/>
  <c r="AP18" i="1"/>
  <c r="AO18" i="1"/>
  <c r="AN18" i="1"/>
  <c r="N13" i="1"/>
  <c r="P13" i="1" s="1"/>
  <c r="AN13" i="1"/>
  <c r="AQ13" i="1"/>
  <c r="AM13" i="1"/>
  <c r="AO13" i="1"/>
  <c r="AP13" i="1"/>
  <c r="AQ14" i="1"/>
  <c r="AM14" i="1"/>
  <c r="AP14" i="1"/>
  <c r="AO14" i="1"/>
  <c r="AN14" i="1"/>
  <c r="Q14" i="1"/>
  <c r="S14" i="1" s="1"/>
  <c r="AO16" i="1"/>
  <c r="AN16" i="1"/>
  <c r="AQ16" i="1"/>
  <c r="AP16" i="1"/>
  <c r="AM16" i="1"/>
  <c r="N15" i="1"/>
  <c r="T15" i="1" s="1"/>
  <c r="AP15" i="1"/>
  <c r="AN15" i="1"/>
  <c r="AO15" i="1"/>
  <c r="AQ15" i="1"/>
  <c r="AM15" i="1"/>
  <c r="Q19" i="1"/>
  <c r="S19" i="1" s="1"/>
  <c r="AP19" i="1"/>
  <c r="AN19" i="1"/>
  <c r="AO19" i="1"/>
  <c r="AQ19" i="1"/>
  <c r="AM19" i="1"/>
  <c r="Q17" i="1"/>
  <c r="S17" i="1" s="1"/>
  <c r="AN17" i="1"/>
  <c r="AQ17" i="1"/>
  <c r="AM17" i="1"/>
  <c r="AO17" i="1"/>
  <c r="AP17" i="1"/>
  <c r="N19" i="1"/>
  <c r="T19" i="1" s="1"/>
  <c r="N18" i="1"/>
  <c r="P15" i="1"/>
  <c r="P17" i="1"/>
  <c r="P19" i="1"/>
  <c r="P18" i="1"/>
  <c r="P16" i="1"/>
  <c r="T17" i="1" l="1"/>
  <c r="T18" i="1"/>
  <c r="T14" i="1"/>
  <c r="T13" i="1"/>
  <c r="K8" i="2" l="1"/>
  <c r="O30" i="2" l="1"/>
  <c r="M30" i="2"/>
  <c r="I30" i="2"/>
  <c r="K30" i="2" s="1"/>
  <c r="O8" i="2"/>
  <c r="M8" i="2"/>
  <c r="I8" i="2"/>
  <c r="G8" i="2"/>
  <c r="M48" i="1" l="1"/>
  <c r="M45" i="1"/>
  <c r="M44" i="1"/>
  <c r="M29" i="1"/>
  <c r="M28" i="1"/>
  <c r="M24" i="1"/>
  <c r="M23" i="1"/>
  <c r="M22" i="1"/>
  <c r="M21" i="1"/>
  <c r="M20" i="1"/>
  <c r="M11" i="1"/>
  <c r="M10" i="1"/>
  <c r="S29" i="1" l="1"/>
  <c r="N44" i="1"/>
  <c r="N45" i="1"/>
  <c r="N48" i="1"/>
  <c r="P48" i="1" l="1"/>
  <c r="T48" i="1"/>
  <c r="P44" i="1"/>
  <c r="T44" i="1"/>
  <c r="P45" i="1"/>
  <c r="T45" i="1"/>
  <c r="P29" i="1"/>
  <c r="K11" i="1" l="1"/>
  <c r="AN11" i="1" s="1"/>
  <c r="AO11" i="1" l="1"/>
  <c r="N11" i="1"/>
  <c r="P11" i="1" s="1"/>
  <c r="AP11" i="1"/>
  <c r="AM11" i="1"/>
  <c r="AQ11" i="1"/>
  <c r="Q11" i="1"/>
  <c r="S11" i="1" s="1"/>
  <c r="T11" i="1" l="1"/>
  <c r="F57" i="1" l="1"/>
  <c r="G57" i="1" s="1"/>
  <c r="G21" i="2" l="1"/>
  <c r="I21" i="2" s="1"/>
  <c r="G64" i="2"/>
  <c r="M71" i="2" s="1"/>
  <c r="K21" i="2" l="1"/>
  <c r="M21" i="2"/>
  <c r="O21" i="2" l="1"/>
  <c r="K12" i="1" l="1"/>
  <c r="AQ12" i="1" l="1"/>
  <c r="AM12" i="1"/>
  <c r="AN12" i="1"/>
  <c r="AP12" i="1"/>
  <c r="AO12" i="1"/>
  <c r="Q12" i="1"/>
  <c r="N12" i="1"/>
  <c r="T12" i="1" l="1"/>
  <c r="S12" i="1"/>
  <c r="P12" i="1"/>
  <c r="S27" i="1" l="1"/>
  <c r="P28" i="1"/>
  <c r="P27" i="1"/>
  <c r="S28" i="1" l="1"/>
  <c r="G49" i="1"/>
  <c r="K10" i="1"/>
  <c r="AP10" i="1" s="1"/>
  <c r="AO10" i="1" l="1"/>
  <c r="AO28" i="1" s="1"/>
  <c r="N10" i="1"/>
  <c r="P10" i="1" s="1"/>
  <c r="AO25" i="1"/>
  <c r="AP27" i="1"/>
  <c r="AO27" i="1"/>
  <c r="AO29" i="1"/>
  <c r="AO21" i="1"/>
  <c r="AO23" i="1"/>
  <c r="AO24" i="1"/>
  <c r="AO20" i="1"/>
  <c r="AP29" i="1"/>
  <c r="AP22" i="1"/>
  <c r="AP20" i="1"/>
  <c r="AP23" i="1"/>
  <c r="AP25" i="1"/>
  <c r="AP28" i="1"/>
  <c r="Q10" i="1"/>
  <c r="T10" i="1" s="1"/>
  <c r="AM10" i="1"/>
  <c r="AN10" i="1"/>
  <c r="AQ10" i="1"/>
  <c r="AP24" i="1"/>
  <c r="AO22" i="1"/>
  <c r="AP26" i="1"/>
  <c r="AP21" i="1"/>
  <c r="AO26" i="1"/>
  <c r="AN23" i="1" l="1"/>
  <c r="AN27" i="1"/>
  <c r="AN20" i="1"/>
  <c r="AN25" i="1"/>
  <c r="AN22" i="1"/>
  <c r="AN29" i="1"/>
  <c r="AN28" i="1"/>
  <c r="AN21" i="1"/>
  <c r="AN26" i="1"/>
  <c r="AN24" i="1"/>
  <c r="AO49" i="1"/>
  <c r="AO50" i="1" s="1"/>
  <c r="AO51" i="1" s="1"/>
  <c r="AM27" i="1"/>
  <c r="AM23" i="1"/>
  <c r="AM26" i="1"/>
  <c r="AM28" i="1"/>
  <c r="AM25" i="1"/>
  <c r="AM29" i="1"/>
  <c r="AM21" i="1"/>
  <c r="AM24" i="1"/>
  <c r="AM20" i="1"/>
  <c r="AM22" i="1"/>
  <c r="AP49" i="1"/>
  <c r="AP50" i="1" s="1"/>
  <c r="AP51" i="1" s="1"/>
  <c r="AQ22" i="1"/>
  <c r="AQ24" i="1"/>
  <c r="AQ25" i="1"/>
  <c r="AQ28" i="1"/>
  <c r="AQ27" i="1"/>
  <c r="AQ29" i="1"/>
  <c r="AQ20" i="1"/>
  <c r="AQ21" i="1"/>
  <c r="AQ23" i="1"/>
  <c r="AQ26" i="1"/>
  <c r="S10" i="1"/>
  <c r="J23" i="1" l="1"/>
  <c r="J29" i="1"/>
  <c r="K29" i="1" s="1"/>
  <c r="J26" i="1"/>
  <c r="K26" i="1" s="1"/>
  <c r="J25" i="1"/>
  <c r="K25" i="1" s="1"/>
  <c r="J27" i="1"/>
  <c r="K27" i="1" s="1"/>
  <c r="J20" i="1"/>
  <c r="J22" i="1"/>
  <c r="K22" i="1" s="1"/>
  <c r="J28" i="1"/>
  <c r="K28" i="1" s="1"/>
  <c r="J24" i="1"/>
  <c r="K24" i="1" s="1"/>
  <c r="K23" i="1"/>
  <c r="J21" i="1"/>
  <c r="K21" i="1" s="1"/>
  <c r="AQ49" i="1"/>
  <c r="AQ50" i="1" s="1"/>
  <c r="AQ51" i="1" s="1"/>
  <c r="AM49" i="1"/>
  <c r="AM50" i="1" s="1"/>
  <c r="AM51" i="1" s="1"/>
  <c r="AN49" i="1"/>
  <c r="AN50" i="1" s="1"/>
  <c r="AN51" i="1" s="1"/>
  <c r="Q29" i="1" l="1"/>
  <c r="N29" i="1"/>
  <c r="N23" i="1"/>
  <c r="P23" i="1" s="1"/>
  <c r="Q23" i="1"/>
  <c r="S23" i="1" s="1"/>
  <c r="N24" i="1"/>
  <c r="P24" i="1" s="1"/>
  <c r="Q24" i="1"/>
  <c r="S24" i="1" s="1"/>
  <c r="Q22" i="1"/>
  <c r="S22" i="1" s="1"/>
  <c r="N22" i="1"/>
  <c r="P22" i="1" s="1"/>
  <c r="N27" i="1"/>
  <c r="Q27" i="1"/>
  <c r="N26" i="1"/>
  <c r="P26" i="1" s="1"/>
  <c r="Q26" i="1"/>
  <c r="S26" i="1" s="1"/>
  <c r="N21" i="1"/>
  <c r="P21" i="1" s="1"/>
  <c r="Q21" i="1"/>
  <c r="S21" i="1" s="1"/>
  <c r="J49" i="1"/>
  <c r="K20" i="1"/>
  <c r="N28" i="1"/>
  <c r="Q28" i="1"/>
  <c r="Q25" i="1"/>
  <c r="S25" i="1" s="1"/>
  <c r="N25" i="1"/>
  <c r="T29" i="1" l="1"/>
  <c r="T25" i="1"/>
  <c r="P25" i="1"/>
  <c r="T22" i="1"/>
  <c r="T26" i="1"/>
  <c r="T24" i="1"/>
  <c r="Q20" i="1"/>
  <c r="AW12" i="1"/>
  <c r="AD53" i="1"/>
  <c r="K16" i="2"/>
  <c r="AE53" i="1"/>
  <c r="N20" i="1"/>
  <c r="P20" i="1" s="1"/>
  <c r="K49" i="1"/>
  <c r="AW11" i="1"/>
  <c r="G16" i="2"/>
  <c r="AF52" i="1"/>
  <c r="K11" i="2" s="1"/>
  <c r="O16" i="2"/>
  <c r="AG55" i="1"/>
  <c r="AH55" i="1"/>
  <c r="AG52" i="1"/>
  <c r="M11" i="2" s="1"/>
  <c r="AH53" i="1"/>
  <c r="AH52" i="1"/>
  <c r="O11" i="2" s="1"/>
  <c r="AF55" i="1"/>
  <c r="AE55" i="1"/>
  <c r="AD55" i="1"/>
  <c r="AE52" i="1"/>
  <c r="I11" i="2" s="1"/>
  <c r="AW10" i="1"/>
  <c r="I16" i="2"/>
  <c r="M16" i="2"/>
  <c r="AG53" i="1"/>
  <c r="AF53" i="1"/>
  <c r="AD52" i="1"/>
  <c r="G11" i="2" s="1"/>
  <c r="T28" i="1"/>
  <c r="T21" i="1"/>
  <c r="T27" i="1"/>
  <c r="T23" i="1"/>
  <c r="L43" i="1" l="1"/>
  <c r="L42" i="1"/>
  <c r="N30" i="2"/>
  <c r="N21" i="2"/>
  <c r="Q49" i="1"/>
  <c r="S20" i="1"/>
  <c r="AF54" i="1"/>
  <c r="K13" i="2" s="1"/>
  <c r="K14" i="2" s="1"/>
  <c r="AF56" i="1"/>
  <c r="AG54" i="1"/>
  <c r="M13" i="2" s="1"/>
  <c r="M14" i="2" s="1"/>
  <c r="AG56" i="1"/>
  <c r="AH56" i="1"/>
  <c r="AE54" i="1"/>
  <c r="I13" i="2" s="1"/>
  <c r="I14" i="2" s="1"/>
  <c r="AY10" i="1"/>
  <c r="G18" i="2"/>
  <c r="G37" i="2"/>
  <c r="G39" i="2" s="1"/>
  <c r="G23" i="2"/>
  <c r="O43" i="2"/>
  <c r="AY11" i="1"/>
  <c r="K18" i="2"/>
  <c r="K23" i="2"/>
  <c r="K37" i="2"/>
  <c r="K39" i="2" s="1"/>
  <c r="M37" i="2"/>
  <c r="M39" i="2" s="1"/>
  <c r="M18" i="2"/>
  <c r="M23" i="2"/>
  <c r="AD56" i="1"/>
  <c r="AH54" i="1"/>
  <c r="O13" i="2" s="1"/>
  <c r="O14" i="2" s="1"/>
  <c r="O37" i="2"/>
  <c r="O39" i="2" s="1"/>
  <c r="O18" i="2"/>
  <c r="O23" i="2"/>
  <c r="L41" i="1"/>
  <c r="L22" i="1"/>
  <c r="L19" i="1"/>
  <c r="L26" i="1"/>
  <c r="L12" i="1"/>
  <c r="L30" i="1"/>
  <c r="L46" i="1"/>
  <c r="L39" i="1"/>
  <c r="L21" i="1"/>
  <c r="L45" i="1"/>
  <c r="L36" i="1"/>
  <c r="L10" i="1"/>
  <c r="L44" i="1"/>
  <c r="L11" i="1"/>
  <c r="G62" i="2"/>
  <c r="I52" i="2" s="1"/>
  <c r="L20" i="1"/>
  <c r="L18" i="1"/>
  <c r="L40" i="1"/>
  <c r="L38" i="1"/>
  <c r="L17" i="1"/>
  <c r="L34" i="1"/>
  <c r="L27" i="1"/>
  <c r="L33" i="1"/>
  <c r="L23" i="1"/>
  <c r="L29" i="1"/>
  <c r="L48" i="1"/>
  <c r="L35" i="1"/>
  <c r="L24" i="1"/>
  <c r="L15" i="1"/>
  <c r="L28" i="1"/>
  <c r="L32" i="1"/>
  <c r="L13" i="1"/>
  <c r="L25" i="1"/>
  <c r="L14" i="1"/>
  <c r="L31" i="1"/>
  <c r="L16" i="1"/>
  <c r="L37" i="1"/>
  <c r="L47" i="1"/>
  <c r="AD54" i="1"/>
  <c r="G13" i="2" s="1"/>
  <c r="G14" i="2" s="1"/>
  <c r="R20" i="1"/>
  <c r="I43" i="2"/>
  <c r="G43" i="2"/>
  <c r="I18" i="2"/>
  <c r="I37" i="2"/>
  <c r="I39" i="2" s="1"/>
  <c r="I23" i="2"/>
  <c r="AE56" i="1"/>
  <c r="M43" i="2"/>
  <c r="K43" i="2"/>
  <c r="T20" i="1"/>
  <c r="N49" i="1"/>
  <c r="AX10" i="1"/>
  <c r="AX11" i="1"/>
  <c r="BA11" i="1" s="1"/>
  <c r="AX12" i="1"/>
  <c r="BA12" i="1" s="1"/>
  <c r="AY12" i="1"/>
  <c r="O42" i="1" l="1"/>
  <c r="O43" i="1"/>
  <c r="R32" i="1"/>
  <c r="R42" i="1"/>
  <c r="R43" i="1"/>
  <c r="R34" i="1"/>
  <c r="R37" i="1"/>
  <c r="R13" i="1"/>
  <c r="T49" i="1"/>
  <c r="R14" i="1"/>
  <c r="R10" i="1"/>
  <c r="R23" i="1"/>
  <c r="R27" i="1"/>
  <c r="R26" i="1"/>
  <c r="R15" i="1"/>
  <c r="R47" i="1"/>
  <c r="R45" i="1"/>
  <c r="R35" i="1"/>
  <c r="R28" i="1"/>
  <c r="R30" i="1"/>
  <c r="R19" i="1"/>
  <c r="R21" i="1"/>
  <c r="R31" i="1"/>
  <c r="R25" i="1"/>
  <c r="R36" i="1"/>
  <c r="R11" i="1"/>
  <c r="R33" i="1"/>
  <c r="R40" i="1"/>
  <c r="R22" i="1"/>
  <c r="R46" i="1"/>
  <c r="R38" i="1"/>
  <c r="R48" i="1"/>
  <c r="U49" i="1"/>
  <c r="R24" i="1"/>
  <c r="R17" i="1"/>
  <c r="R44" i="1"/>
  <c r="R12" i="1"/>
  <c r="R41" i="1"/>
  <c r="R39" i="1"/>
  <c r="R18" i="1"/>
  <c r="R29" i="1"/>
  <c r="R16" i="1"/>
  <c r="O52" i="2"/>
  <c r="AZ10" i="1"/>
  <c r="K52" i="2"/>
  <c r="G52" i="2"/>
  <c r="M52" i="2"/>
  <c r="I50" i="2"/>
  <c r="I28" i="2"/>
  <c r="I32" i="2" s="1"/>
  <c r="O21" i="1"/>
  <c r="O45" i="1"/>
  <c r="O12" i="1"/>
  <c r="O10" i="1"/>
  <c r="O24" i="1"/>
  <c r="O13" i="1"/>
  <c r="O38" i="1"/>
  <c r="O33" i="1"/>
  <c r="O47" i="1"/>
  <c r="O48" i="1"/>
  <c r="O32" i="1"/>
  <c r="O46" i="1"/>
  <c r="O39" i="1"/>
  <c r="O37" i="1"/>
  <c r="O41" i="1"/>
  <c r="O28" i="1"/>
  <c r="O44" i="1"/>
  <c r="O23" i="1"/>
  <c r="O34" i="1"/>
  <c r="O18" i="1"/>
  <c r="O40" i="1"/>
  <c r="O14" i="1"/>
  <c r="O31" i="1"/>
  <c r="O17" i="1"/>
  <c r="O20" i="1"/>
  <c r="O19" i="1"/>
  <c r="O26" i="1"/>
  <c r="O36" i="1"/>
  <c r="O29" i="1"/>
  <c r="O25" i="1"/>
  <c r="O15" i="1"/>
  <c r="O30" i="1"/>
  <c r="O35" i="1"/>
  <c r="O27" i="1"/>
  <c r="O22" i="1"/>
  <c r="O11" i="1"/>
  <c r="O16" i="1"/>
  <c r="G28" i="2"/>
  <c r="G32" i="2" s="1"/>
  <c r="G50" i="2"/>
  <c r="BA10" i="1"/>
  <c r="AZ12" i="1"/>
  <c r="O50" i="2"/>
  <c r="O28" i="2"/>
  <c r="O32" i="2" s="1"/>
  <c r="AZ11" i="1"/>
  <c r="M49" i="1"/>
  <c r="M69" i="2"/>
  <c r="M70" i="2"/>
  <c r="G79" i="2"/>
  <c r="G69" i="2"/>
  <c r="G66" i="2"/>
  <c r="M54" i="2" s="1"/>
  <c r="I62" i="2"/>
  <c r="G77" i="2"/>
  <c r="M50" i="2"/>
  <c r="M28" i="2"/>
  <c r="K28" i="2"/>
  <c r="K32" i="2" s="1"/>
  <c r="K50" i="2"/>
  <c r="M32" i="2" l="1"/>
  <c r="N32" i="2" s="1"/>
  <c r="N28" i="2"/>
  <c r="I54" i="2"/>
  <c r="O25" i="2"/>
  <c r="I25" i="2"/>
  <c r="K25" i="2"/>
  <c r="O54" i="2"/>
  <c r="G81" i="2"/>
  <c r="G25" i="2"/>
  <c r="M25" i="2"/>
  <c r="K34" i="2"/>
  <c r="K41" i="2"/>
  <c r="K45" i="2"/>
  <c r="K47" i="2" s="1"/>
  <c r="G71" i="2"/>
  <c r="G73" i="2"/>
  <c r="O45" i="2"/>
  <c r="O47" i="2" s="1"/>
  <c r="O41" i="2"/>
  <c r="O34" i="2"/>
  <c r="G34" i="2"/>
  <c r="G45" i="2"/>
  <c r="G47" i="2" s="1"/>
  <c r="G41" i="2"/>
  <c r="M74" i="2"/>
  <c r="M73" i="2"/>
  <c r="M72" i="2"/>
  <c r="I34" i="2"/>
  <c r="I45" i="2"/>
  <c r="I47" i="2" s="1"/>
  <c r="I41" i="2"/>
  <c r="K54" i="2"/>
  <c r="G54" i="2"/>
  <c r="M34" i="2" l="1"/>
  <c r="M41" i="2"/>
  <c r="M45" i="2"/>
  <c r="M4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</author>
    <author>dalmazan</author>
  </authors>
  <commentList>
    <comment ref="B8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Colocar Nombre del Campo.</t>
        </r>
      </text>
    </comment>
    <comment ref="F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Cantidad de Hectáreas, cabezas, máquinas.
Según el activo.</t>
        </r>
      </text>
    </comment>
    <comment ref="G9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 xml:space="preserve">Cargar valor por Unidad.
</t>
        </r>
      </text>
    </comment>
    <comment ref="H9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Cargar Bienes de Uso por unidad. 
Aproximaciones para cargar B. de Uso, si no sabemos el número.
(% de los B. de Cambio)
Inmobiliario: 1%
Maquinaria: 25%
Vaca Cría: 30%</t>
        </r>
      </text>
    </comment>
    <comment ref="I9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Coincidir con el Campo (Columna C) que posee la Sementera para calcular el Costo de Oportunidad (Columna i).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J10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Moneda en la que factura la Actividad. 
En el caso que alguna facture en pesos cambiar.</t>
        </r>
      </text>
    </comment>
    <comment ref="B44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Si se desea ingresar Otros Activoos o Actividades, con el mismo criterio que arriba.</t>
        </r>
      </text>
    </comment>
    <comment ref="F51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Cargar Pasivos en USD o equivalente de pesos en USD.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<sst xmlns="http://schemas.openxmlformats.org/spreadsheetml/2006/main" count="175" uniqueCount="135">
  <si>
    <t>Activos</t>
  </si>
  <si>
    <t>Girasol</t>
  </si>
  <si>
    <t>Soja 1ra</t>
  </si>
  <si>
    <t>Trigo - Soja 2da</t>
  </si>
  <si>
    <t>Feed Lot</t>
  </si>
  <si>
    <t>Unidades</t>
  </si>
  <si>
    <t>C. Oport.</t>
  </si>
  <si>
    <t>Renta</t>
  </si>
  <si>
    <t>Totales</t>
  </si>
  <si>
    <t xml:space="preserve">Resultado Producción </t>
  </si>
  <si>
    <t>Descripción Activos</t>
  </si>
  <si>
    <t>Esperado</t>
  </si>
  <si>
    <t>Promedio</t>
  </si>
  <si>
    <t>Maíz</t>
  </si>
  <si>
    <t>Mínimo</t>
  </si>
  <si>
    <t>Riesgo Bajo</t>
  </si>
  <si>
    <t>Riesgo Medio</t>
  </si>
  <si>
    <t>Riesgo Alto</t>
  </si>
  <si>
    <t>% Activo</t>
  </si>
  <si>
    <t>% RRP</t>
  </si>
  <si>
    <t>Renta | Activo</t>
  </si>
  <si>
    <t>U$S Total</t>
  </si>
  <si>
    <t>Tasa U$S</t>
  </si>
  <si>
    <t>Otros Pasivos</t>
  </si>
  <si>
    <t>Renta | P. Neto</t>
  </si>
  <si>
    <t>Crec. | P. Neto</t>
  </si>
  <si>
    <t>Pasivo/Activo</t>
  </si>
  <si>
    <t>Pasivo/P. Neto</t>
  </si>
  <si>
    <t>Rotación</t>
  </si>
  <si>
    <t>Apalancamiento</t>
  </si>
  <si>
    <t>Margen de Ventas</t>
  </si>
  <si>
    <t>Margen de ventas</t>
  </si>
  <si>
    <t>Tendencia</t>
  </si>
  <si>
    <t>Cebada - Soja 2da</t>
  </si>
  <si>
    <t>Inmobiliario Rural</t>
  </si>
  <si>
    <t>Cría</t>
  </si>
  <si>
    <t>$</t>
  </si>
  <si>
    <t>Tambo 1</t>
  </si>
  <si>
    <t>Tambo 2</t>
  </si>
  <si>
    <t>Siembra</t>
  </si>
  <si>
    <t>Cosecha</t>
  </si>
  <si>
    <t>Pulverización</t>
  </si>
  <si>
    <t>Otros</t>
  </si>
  <si>
    <t>Facturación</t>
  </si>
  <si>
    <t>Facturación Neta</t>
  </si>
  <si>
    <t>Invernada Larga</t>
  </si>
  <si>
    <t>Escenarios de Rotación</t>
  </si>
  <si>
    <t>Recría</t>
  </si>
  <si>
    <t>Camión</t>
  </si>
  <si>
    <t>Máximo</t>
  </si>
  <si>
    <t>Ganadería
Campo Propio</t>
  </si>
  <si>
    <t>Ganadería
Campo Arrendado</t>
  </si>
  <si>
    <t>A</t>
  </si>
  <si>
    <t>B</t>
  </si>
  <si>
    <t>C</t>
  </si>
  <si>
    <t>D</t>
  </si>
  <si>
    <t>E</t>
  </si>
  <si>
    <t>F</t>
  </si>
  <si>
    <t>Escenarios Costo Oportunidad</t>
  </si>
  <si>
    <t>Pasivos Corrientes (Cargar Equivalente en U$S)</t>
  </si>
  <si>
    <t>Pasivos No Corrientes (Cargar Equivalente en U$S)</t>
  </si>
  <si>
    <t>Corriente</t>
  </si>
  <si>
    <t>No Corriente</t>
  </si>
  <si>
    <t>Cobertura Deuda Corriente</t>
  </si>
  <si>
    <t>Cobertura Deuda Total</t>
  </si>
  <si>
    <t>Amortización Capital</t>
  </si>
  <si>
    <t>Escenarios</t>
  </si>
  <si>
    <t>Facturación | Deuda Corriente</t>
  </si>
  <si>
    <t>Calidad Deuda</t>
  </si>
  <si>
    <t>Respaldo</t>
  </si>
  <si>
    <t>Liquidez</t>
  </si>
  <si>
    <t>Total</t>
  </si>
  <si>
    <t>Situación Patrimonial</t>
  </si>
  <si>
    <t>Capital de Trabajo Neto</t>
  </si>
  <si>
    <t>Capitalizaciones Terceros</t>
  </si>
  <si>
    <t>G</t>
  </si>
  <si>
    <t>H</t>
  </si>
  <si>
    <t>I</t>
  </si>
  <si>
    <t>J</t>
  </si>
  <si>
    <t>La Madrid - Invernada</t>
  </si>
  <si>
    <t>La Madrid - Cría</t>
  </si>
  <si>
    <t>Azul -Ganadero</t>
  </si>
  <si>
    <t>Azul - Agrícola</t>
  </si>
  <si>
    <t>Recria - Invernada</t>
  </si>
  <si>
    <t>Portfolio de Negocios</t>
  </si>
  <si>
    <t>Unidad de Negocio</t>
  </si>
  <si>
    <t>Descripción</t>
  </si>
  <si>
    <t>Agricultura - Sementeras Agrícolas</t>
  </si>
  <si>
    <t>Riesgo</t>
  </si>
  <si>
    <t>Cargar los Activos del Portfolio</t>
  </si>
  <si>
    <t>Servicios</t>
  </si>
  <si>
    <t>Gerenciamiento</t>
  </si>
  <si>
    <t>Riego</t>
  </si>
  <si>
    <t>GRÁFICO</t>
  </si>
  <si>
    <t>Otros Activos
Otras Negocios</t>
  </si>
  <si>
    <t>ACTIVOS</t>
  </si>
  <si>
    <t>RPP</t>
  </si>
  <si>
    <t>Perfil de Riesgo</t>
  </si>
  <si>
    <t>USD</t>
  </si>
  <si>
    <t>Facturacion USD</t>
  </si>
  <si>
    <t>Intereses USD</t>
  </si>
  <si>
    <t>Utilidad USD</t>
  </si>
  <si>
    <t>Retiros USD</t>
  </si>
  <si>
    <t>Crecimiento USD</t>
  </si>
  <si>
    <t>Deuda Estructural USD</t>
  </si>
  <si>
    <t>Activo USD</t>
  </si>
  <si>
    <t>Pasivo USD</t>
  </si>
  <si>
    <t>Patrimonio  Neto USD</t>
  </si>
  <si>
    <t>R. Producción USD - EBIT</t>
  </si>
  <si>
    <t xml:space="preserve"> USD Totales</t>
  </si>
  <si>
    <t>USD/U</t>
  </si>
  <si>
    <t>Escenarios de Rentabilidad USD</t>
  </si>
  <si>
    <t>Activos USD/Unidad</t>
  </si>
  <si>
    <t>IR</t>
  </si>
  <si>
    <t>Cargar establecimientos + actividad</t>
  </si>
  <si>
    <t>Cargar nivel de riesgo de la actividad 1, 2 o 3.</t>
  </si>
  <si>
    <t>Cargar cantidad por la unidad correspondiente.</t>
  </si>
  <si>
    <t>Colocar valor en USD por unidad de los Bienes de Cambio</t>
  </si>
  <si>
    <t>Colocar valor en USD por unidad de los Bienes de Uso (Ej: Valor de la Tierra, mejoras)</t>
  </si>
  <si>
    <t>Colocar la letra del establecimiento que pertenece.</t>
  </si>
  <si>
    <t>Seleccionar el escenario de renta en la celda M9</t>
  </si>
  <si>
    <t>Visualizar el "Perfil de Riesgo" en hoja Portfolio</t>
  </si>
  <si>
    <t>(Pararse sobre los números para interpretar el resultado)</t>
  </si>
  <si>
    <t>Colocar en cada caso el porcentaje de la Facturación del Activo en la mondea que corresponda $ o USD.</t>
  </si>
  <si>
    <r>
      <t>Cargar Escenarios de Rentabilidad.</t>
    </r>
    <r>
      <rPr>
        <sz val="11"/>
        <color theme="4"/>
        <rFont val="Calibri"/>
        <family val="2"/>
        <scheme val="minor"/>
      </rPr>
      <t xml:space="preserve"> (Están precargados)</t>
    </r>
  </si>
  <si>
    <r>
      <t xml:space="preserve">Cargar Escenarios de Rotación del Activo. </t>
    </r>
    <r>
      <rPr>
        <sz val="11"/>
        <color theme="4"/>
        <rFont val="Calibri"/>
        <family val="2"/>
        <scheme val="minor"/>
      </rPr>
      <t>(Está precargado)</t>
    </r>
  </si>
  <si>
    <t>Activo No Corriente</t>
  </si>
  <si>
    <t>Activo Corriente</t>
  </si>
  <si>
    <t>Rentabilidad del Activo</t>
  </si>
  <si>
    <t>Cobertura de Deuda Total</t>
  </si>
  <si>
    <t>¿Qué rentabilidad espero para mi negocio general?</t>
  </si>
  <si>
    <t>¿Qué ratio de liquidez espero/creo tener?</t>
  </si>
  <si>
    <t>¿Qué nivel de deuda sobre el Activo Total quiero tener?</t>
  </si>
  <si>
    <t>Cargar los ratios esperados:</t>
  </si>
  <si>
    <t>Volver al Instructivo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</si>
</sst>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$&quot;\ * #,##0.00_-;\-&quot;$&quot;\ * #,##0.00_-;_-&quot;$&quot;\ * &quot;-&quot;??_-;_-@_-"/>
    <numFmt numFmtId="164" formatCode="_ * #,##0.00_ ;_ * \-#,##0.00_ ;_ * &quot;-&quot;??_ ;_ @_ "/>
    <numFmt numFmtId="165" formatCode="_ * #,##0_ ;_ * \-#,##0_ ;_ * &quot;-&quot;??_ ;_ @_ "/>
    <numFmt numFmtId="166" formatCode="#,##0_ ;\-#,##0\ "/>
    <numFmt numFmtId="167" formatCode="0.0%"/>
    <numFmt numFmtId="168" formatCode="&quot;Impuestos&quot;\ 0%"/>
    <numFmt numFmtId="169" formatCode="_ * #,##0.0000_ ;_ * \-#,##0.0000_ ;_ * &quot;-&quot;??_ ;_ @_ "/>
    <numFmt numFmtId="170" formatCode="&quot;Maxima Deuda&quot;\ 0\ &quot;Años&quot;"/>
    <numFmt numFmtId="171" formatCode="0%\ &quot;Pesos&quot;"/>
    <numFmt numFmtId="172" formatCode="0%\ &quot;Dólares&quot;"/>
    <numFmt numFmtId="173" formatCode="#,##0.0\ &quot;Años&quot;"/>
    <numFmt numFmtId="174" formatCode="&quot;Deuda Potencial&quot;\ 0\ &quot;Años U$S&quot;"/>
    <numFmt numFmtId="185" formatCode="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rgb="FF00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u/>
      <sz val="10"/>
      <color theme="4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>
        <bgColor theme="0" tint="-0.14996795556505021"/>
      </patternFill>
    </fill>
    <fill>
      <patternFill patternType="mediumGray"/>
    </fill>
    <fill>
      <patternFill patternType="mediumGray">
        <bgColor theme="0" tint="-0.14999847407452621"/>
      </patternFill>
    </fill>
    <fill>
      <patternFill patternType="solid">
        <fgColor theme="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</fills>
  <borders count="97">
    <border>
      <left/>
      <right/>
      <top/>
      <bottom/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dashed">
        <color theme="0" tint="-0.499984740745262"/>
      </right>
      <top/>
      <bottom style="thin">
        <color theme="0" tint="-0.499984740745262"/>
      </bottom>
      <diagonal/>
    </border>
    <border>
      <left/>
      <right style="dashed">
        <color theme="0" tint="-0.499984740745262"/>
      </right>
      <top style="thin">
        <color theme="0" tint="-0.499984740745262"/>
      </top>
      <bottom/>
      <diagonal/>
    </border>
    <border>
      <left/>
      <right style="dashed">
        <color theme="0" tint="-0.499984740745262"/>
      </right>
      <top/>
      <bottom/>
      <diagonal/>
    </border>
    <border>
      <left style="dashed">
        <color theme="0" tint="-0.499984740745262"/>
      </left>
      <right/>
      <top/>
      <bottom/>
      <diagonal/>
    </border>
    <border>
      <left style="dashed">
        <color theme="0" tint="-0.499984740745262"/>
      </left>
      <right/>
      <top style="thin">
        <color theme="0" tint="-0.499984740745262"/>
      </top>
      <bottom/>
      <diagonal/>
    </border>
    <border>
      <left style="dashed">
        <color theme="0" tint="-0.499984740745262"/>
      </left>
      <right/>
      <top/>
      <bottom style="thin">
        <color theme="0" tint="-0.499984740745262"/>
      </bottom>
      <diagonal/>
    </border>
    <border>
      <left style="dashed">
        <color theme="0" tint="-0.499984740745262"/>
      </left>
      <right style="dashed">
        <color theme="0" tint="-0.499984740745262"/>
      </right>
      <top/>
      <bottom/>
      <diagonal/>
    </border>
    <border>
      <left style="dashed">
        <color theme="0" tint="-0.499984740745262"/>
      </left>
      <right style="dashed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dashed">
        <color theme="0" tint="-0.499984740745262"/>
      </right>
      <top style="thin">
        <color theme="0" tint="-0.499984740745262"/>
      </top>
      <bottom/>
      <diagonal/>
    </border>
    <border>
      <left style="dashed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dashed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auto="1"/>
      </left>
      <right style="thin">
        <color theme="0"/>
      </right>
      <top style="thin">
        <color auto="1"/>
      </top>
      <bottom/>
      <diagonal/>
    </border>
    <border>
      <left style="thin">
        <color auto="1"/>
      </left>
      <right style="thin">
        <color theme="0"/>
      </right>
      <top/>
      <bottom/>
      <diagonal/>
    </border>
    <border>
      <left style="thin">
        <color auto="1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ck">
        <color theme="0" tint="-0.24994659260841701"/>
      </top>
      <bottom/>
      <diagonal/>
    </border>
    <border>
      <left style="thin">
        <color theme="0" tint="-0.34998626667073579"/>
      </left>
      <right/>
      <top/>
      <bottom style="thick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/>
      </top>
      <bottom style="thin">
        <color theme="1"/>
      </bottom>
      <diagonal/>
    </border>
    <border>
      <left style="dashed">
        <color theme="0" tint="-0.499984740745262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ashed">
        <color theme="0" tint="-0.499984740745262"/>
      </right>
      <top style="thin">
        <color indexed="64"/>
      </top>
      <bottom/>
      <diagonal/>
    </border>
    <border>
      <left style="dashed">
        <color theme="0" tint="-0.499984740745262"/>
      </left>
      <right style="dashed">
        <color theme="0" tint="-0.499984740745262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/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/>
      <diagonal/>
    </border>
    <border>
      <left/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 style="thin">
        <color theme="0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0"/>
      </right>
      <top/>
      <bottom/>
      <diagonal/>
    </border>
    <border>
      <left style="thin">
        <color theme="1" tint="0.499984740745262"/>
      </left>
      <right style="thin">
        <color theme="0"/>
      </right>
      <top/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 style="dashed">
        <color theme="0" tint="-0.499984740745262"/>
      </right>
      <top style="thin">
        <color indexed="64"/>
      </top>
      <bottom/>
      <diagonal/>
    </border>
    <border>
      <left style="dashed">
        <color theme="0" tint="-0.49998474074526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theme="0" tint="-0.499984740745262"/>
      </right>
      <top/>
      <bottom style="thin">
        <color theme="0" tint="-0.499984740745262"/>
      </bottom>
      <diagonal/>
    </border>
    <border>
      <left style="dashed">
        <color theme="0" tint="-0.499984740745262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dashed">
        <color theme="0" tint="-0.499984740745262"/>
      </right>
      <top style="thin">
        <color theme="0" tint="-0.499984740745262"/>
      </top>
      <bottom/>
      <diagonal/>
    </border>
    <border>
      <left style="dashed">
        <color theme="0" tint="-0.499984740745262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 style="dashed">
        <color theme="0" tint="-0.499984740745262"/>
      </right>
      <top/>
      <bottom/>
      <diagonal/>
    </border>
    <border>
      <left style="dashed">
        <color theme="0" tint="-0.499984740745262"/>
      </left>
      <right style="thin">
        <color indexed="64"/>
      </right>
      <top/>
      <bottom/>
      <diagonal/>
    </border>
    <border>
      <left style="thin">
        <color indexed="64"/>
      </left>
      <right style="dashed">
        <color theme="0" tint="-0.499984740745262"/>
      </right>
      <top/>
      <bottom style="thin">
        <color indexed="64"/>
      </bottom>
      <diagonal/>
    </border>
    <border>
      <left style="dashed">
        <color theme="0" tint="-0.499984740745262"/>
      </left>
      <right style="dashed">
        <color theme="0" tint="-0.499984740745262"/>
      </right>
      <top/>
      <bottom style="thin">
        <color indexed="64"/>
      </bottom>
      <diagonal/>
    </border>
    <border>
      <left style="dashed">
        <color theme="0" tint="-0.499984740745262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dashed">
        <color theme="0" tint="-0.499984740745262"/>
      </right>
      <top style="thin">
        <color indexed="64"/>
      </top>
      <bottom style="thin">
        <color indexed="64"/>
      </bottom>
      <diagonal/>
    </border>
    <border>
      <left style="dashed">
        <color theme="0" tint="-0.499984740745262"/>
      </left>
      <right style="dashed">
        <color theme="0" tint="-0.499984740745262"/>
      </right>
      <top style="thin">
        <color indexed="64"/>
      </top>
      <bottom style="thin">
        <color indexed="64"/>
      </bottom>
      <diagonal/>
    </border>
    <border>
      <left style="dashed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34998626667073579"/>
      </left>
      <right/>
      <top/>
      <bottom/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hair">
        <color theme="0" tint="-0.34998626667073579"/>
      </bottom>
      <diagonal/>
    </border>
    <border>
      <left/>
      <right/>
      <top style="thin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thin">
        <color theme="0" tint="-0.34998626667073579"/>
      </bottom>
      <diagonal/>
    </border>
    <border>
      <left/>
      <right/>
      <top style="hair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thick">
        <color rgb="FF00B05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hair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/>
      <right style="thin">
        <color theme="0" tint="-0.34998626667073579"/>
      </right>
      <top/>
      <bottom style="hair">
        <color theme="0" tint="-0.34998626667073579"/>
      </bottom>
      <diagonal/>
    </border>
    <border>
      <left/>
      <right style="dashed">
        <color theme="0" tint="-0.499984740745262"/>
      </right>
      <top/>
      <bottom style="thin">
        <color indexed="64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361">
    <xf numFmtId="0" fontId="0" fillId="0" borderId="0" xfId="0"/>
    <xf numFmtId="0" fontId="0" fillId="0" borderId="0" xfId="0" applyAlignment="1">
      <alignment horizontal="center"/>
    </xf>
    <xf numFmtId="9" fontId="0" fillId="0" borderId="0" xfId="2" applyFont="1"/>
    <xf numFmtId="3" fontId="4" fillId="0" borderId="0" xfId="1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0" fillId="2" borderId="0" xfId="0" applyFill="1"/>
    <xf numFmtId="0" fontId="0" fillId="2" borderId="0" xfId="0" applyFill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0" xfId="0" applyFont="1" applyBorder="1" applyAlignment="1">
      <alignment horizontal="left" vertical="center" wrapText="1" indent="1"/>
    </xf>
    <xf numFmtId="10" fontId="0" fillId="0" borderId="0" xfId="0" applyNumberFormat="1"/>
    <xf numFmtId="0" fontId="0" fillId="0" borderId="0" xfId="0" applyAlignment="1">
      <alignment horizontal="left"/>
    </xf>
    <xf numFmtId="166" fontId="3" fillId="3" borderId="0" xfId="1" applyNumberFormat="1" applyFont="1" applyFill="1" applyBorder="1" applyAlignment="1" applyProtection="1">
      <alignment horizontal="center"/>
      <protection locked="0"/>
    </xf>
    <xf numFmtId="166" fontId="3" fillId="4" borderId="0" xfId="1" applyNumberFormat="1" applyFont="1" applyFill="1" applyBorder="1" applyAlignment="1" applyProtection="1">
      <alignment horizontal="center"/>
      <protection locked="0"/>
    </xf>
    <xf numFmtId="165" fontId="0" fillId="0" borderId="0" xfId="0" applyNumberFormat="1" applyAlignment="1">
      <alignment horizontal="center"/>
    </xf>
    <xf numFmtId="0" fontId="0" fillId="0" borderId="36" xfId="0" applyBorder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13" fillId="2" borderId="0" xfId="0" applyFont="1" applyFill="1"/>
    <xf numFmtId="0" fontId="0" fillId="2" borderId="80" xfId="0" applyFill="1" applyBorder="1"/>
    <xf numFmtId="0" fontId="12" fillId="2" borderId="80" xfId="0" applyFont="1" applyFill="1" applyBorder="1" applyAlignment="1">
      <alignment horizontal="center"/>
    </xf>
    <xf numFmtId="0" fontId="14" fillId="2" borderId="0" xfId="0" applyFont="1" applyFill="1"/>
    <xf numFmtId="0" fontId="0" fillId="0" borderId="2" xfId="0" applyBorder="1" applyAlignment="1">
      <alignment vertical="center"/>
    </xf>
    <xf numFmtId="0" fontId="15" fillId="2" borderId="0" xfId="0" applyFont="1" applyFill="1"/>
    <xf numFmtId="0" fontId="5" fillId="2" borderId="0" xfId="0" applyFont="1" applyFill="1" applyBorder="1" applyAlignment="1">
      <alignment horizontal="left" vertical="center" indent="1"/>
    </xf>
    <xf numFmtId="0" fontId="0" fillId="2" borderId="17" xfId="0" applyFill="1" applyBorder="1"/>
    <xf numFmtId="0" fontId="5" fillId="2" borderId="18" xfId="0" applyFont="1" applyFill="1" applyBorder="1" applyAlignment="1">
      <alignment horizontal="left" vertical="center" wrapText="1"/>
    </xf>
    <xf numFmtId="0" fontId="5" fillId="2" borderId="18" xfId="0" applyFont="1" applyFill="1" applyBorder="1" applyAlignment="1">
      <alignment horizontal="left" vertical="center" wrapText="1" indent="1"/>
    </xf>
    <xf numFmtId="3" fontId="4" fillId="2" borderId="18" xfId="1" applyNumberFormat="1" applyFont="1" applyFill="1" applyBorder="1" applyAlignment="1">
      <alignment horizontal="center" vertical="center"/>
    </xf>
    <xf numFmtId="0" fontId="0" fillId="2" borderId="18" xfId="0" applyFill="1" applyBorder="1"/>
    <xf numFmtId="0" fontId="0" fillId="2" borderId="19" xfId="0" applyFill="1" applyBorder="1"/>
    <xf numFmtId="0" fontId="0" fillId="2" borderId="20" xfId="0" applyFill="1" applyBorder="1"/>
    <xf numFmtId="169" fontId="5" fillId="2" borderId="0" xfId="0" applyNumberFormat="1" applyFont="1" applyFill="1" applyBorder="1" applyAlignment="1">
      <alignment horizontal="left" vertical="center" indent="1"/>
    </xf>
    <xf numFmtId="3" fontId="4" fillId="2" borderId="0" xfId="1" applyNumberFormat="1" applyFont="1" applyFill="1" applyBorder="1" applyAlignment="1">
      <alignment horizontal="center" vertical="center"/>
    </xf>
    <xf numFmtId="0" fontId="0" fillId="2" borderId="21" xfId="0" applyFill="1" applyBorder="1"/>
    <xf numFmtId="0" fontId="0" fillId="2" borderId="0" xfId="0" applyFill="1" applyBorder="1" applyAlignment="1">
      <alignment horizontal="left"/>
    </xf>
    <xf numFmtId="0" fontId="0" fillId="2" borderId="0" xfId="0" applyFill="1" applyBorder="1" applyAlignment="1">
      <alignment horizontal="left" indent="1"/>
    </xf>
    <xf numFmtId="0" fontId="0" fillId="2" borderId="0" xfId="0" applyFill="1" applyBorder="1" applyAlignment="1">
      <alignment horizontal="left" indent="2"/>
    </xf>
    <xf numFmtId="171" fontId="1" fillId="2" borderId="15" xfId="2" applyNumberFormat="1" applyFont="1" applyFill="1" applyBorder="1" applyAlignment="1">
      <alignment horizontal="center" vertical="center"/>
    </xf>
    <xf numFmtId="171" fontId="1" fillId="2" borderId="0" xfId="2" applyNumberFormat="1" applyFont="1" applyFill="1" applyBorder="1"/>
    <xf numFmtId="172" fontId="1" fillId="2" borderId="16" xfId="2" applyNumberFormat="1" applyFont="1" applyFill="1" applyBorder="1" applyAlignment="1">
      <alignment horizontal="center" vertical="center"/>
    </xf>
    <xf numFmtId="172" fontId="1" fillId="2" borderId="0" xfId="2" applyNumberFormat="1" applyFont="1" applyFill="1" applyBorder="1"/>
    <xf numFmtId="0" fontId="0" fillId="2" borderId="29" xfId="0" applyFill="1" applyBorder="1"/>
    <xf numFmtId="9" fontId="0" fillId="2" borderId="0" xfId="2" applyFont="1" applyFill="1" applyBorder="1"/>
    <xf numFmtId="0" fontId="0" fillId="2" borderId="61" xfId="0" applyFill="1" applyBorder="1"/>
    <xf numFmtId="173" fontId="0" fillId="2" borderId="0" xfId="0" applyNumberFormat="1" applyFill="1" applyBorder="1"/>
    <xf numFmtId="0" fontId="0" fillId="2" borderId="22" xfId="0" applyFill="1" applyBorder="1"/>
    <xf numFmtId="0" fontId="0" fillId="2" borderId="23" xfId="0" applyFill="1" applyBorder="1" applyAlignment="1">
      <alignment horizontal="left"/>
    </xf>
    <xf numFmtId="0" fontId="0" fillId="2" borderId="23" xfId="0" applyFill="1" applyBorder="1"/>
    <xf numFmtId="0" fontId="0" fillId="2" borderId="24" xfId="0" applyFill="1" applyBorder="1"/>
    <xf numFmtId="0" fontId="0" fillId="2" borderId="18" xfId="0" applyFill="1" applyBorder="1" applyAlignment="1">
      <alignment horizontal="left"/>
    </xf>
    <xf numFmtId="0" fontId="0" fillId="2" borderId="0" xfId="0" applyFill="1" applyBorder="1" applyAlignment="1">
      <alignment horizontal="center"/>
    </xf>
    <xf numFmtId="0" fontId="0" fillId="2" borderId="21" xfId="0" applyFill="1" applyBorder="1" applyAlignment="1">
      <alignment horizontal="left" indent="1"/>
    </xf>
    <xf numFmtId="0" fontId="0" fillId="2" borderId="23" xfId="0" applyFill="1" applyBorder="1" applyAlignment="1">
      <alignment horizontal="left" indent="1"/>
    </xf>
    <xf numFmtId="166" fontId="3" fillId="4" borderId="0" xfId="1" applyNumberFormat="1" applyFont="1" applyFill="1" applyBorder="1" applyAlignment="1">
      <alignment horizontal="center"/>
    </xf>
    <xf numFmtId="166" fontId="3" fillId="4" borderId="25" xfId="1" applyNumberFormat="1" applyFont="1" applyFill="1" applyBorder="1" applyAlignment="1" applyProtection="1">
      <alignment horizontal="center"/>
      <protection locked="0"/>
    </xf>
    <xf numFmtId="166" fontId="3" fillId="4" borderId="25" xfId="1" applyNumberFormat="1" applyFont="1" applyFill="1" applyBorder="1" applyAlignment="1">
      <alignment horizontal="center"/>
    </xf>
    <xf numFmtId="0" fontId="0" fillId="0" borderId="81" xfId="0" applyBorder="1"/>
    <xf numFmtId="0" fontId="0" fillId="0" borderId="82" xfId="0" applyBorder="1"/>
    <xf numFmtId="0" fontId="0" fillId="2" borderId="25" xfId="0" applyFill="1" applyBorder="1"/>
    <xf numFmtId="0" fontId="0" fillId="0" borderId="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41" xfId="0" applyFill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2" borderId="51" xfId="0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166" fontId="0" fillId="2" borderId="0" xfId="0" applyNumberFormat="1" applyFill="1"/>
    <xf numFmtId="167" fontId="9" fillId="2" borderId="54" xfId="2" applyNumberFormat="1" applyFont="1" applyFill="1" applyBorder="1" applyAlignment="1" applyProtection="1">
      <alignment horizontal="center"/>
      <protection locked="0"/>
    </xf>
    <xf numFmtId="167" fontId="9" fillId="2" borderId="10" xfId="2" applyNumberFormat="1" applyFont="1" applyFill="1" applyBorder="1" applyAlignment="1" applyProtection="1">
      <alignment horizontal="center"/>
      <protection locked="0"/>
    </xf>
    <xf numFmtId="167" fontId="9" fillId="2" borderId="55" xfId="2" applyNumberFormat="1" applyFont="1" applyFill="1" applyBorder="1" applyAlignment="1" applyProtection="1">
      <alignment horizontal="center"/>
      <protection locked="0"/>
    </xf>
    <xf numFmtId="0" fontId="7" fillId="2" borderId="0" xfId="0" applyFont="1" applyFill="1" applyAlignment="1">
      <alignment horizontal="right"/>
    </xf>
    <xf numFmtId="167" fontId="9" fillId="2" borderId="56" xfId="2" applyNumberFormat="1" applyFont="1" applyFill="1" applyBorder="1" applyAlignment="1" applyProtection="1">
      <alignment horizontal="center"/>
      <protection locked="0"/>
    </xf>
    <xf numFmtId="167" fontId="9" fillId="2" borderId="9" xfId="2" applyNumberFormat="1" applyFont="1" applyFill="1" applyBorder="1" applyAlignment="1" applyProtection="1">
      <alignment horizontal="center"/>
      <protection locked="0"/>
    </xf>
    <xf numFmtId="167" fontId="9" fillId="2" borderId="57" xfId="2" applyNumberFormat="1" applyFont="1" applyFill="1" applyBorder="1" applyAlignment="1" applyProtection="1">
      <alignment horizontal="center"/>
      <protection locked="0"/>
    </xf>
    <xf numFmtId="1" fontId="0" fillId="2" borderId="0" xfId="0" applyNumberFormat="1" applyFill="1"/>
    <xf numFmtId="164" fontId="0" fillId="2" borderId="0" xfId="0" applyNumberFormat="1" applyFill="1"/>
    <xf numFmtId="165" fontId="0" fillId="2" borderId="0" xfId="0" applyNumberFormat="1" applyFill="1"/>
    <xf numFmtId="167" fontId="9" fillId="2" borderId="58" xfId="2" applyNumberFormat="1" applyFont="1" applyFill="1" applyBorder="1" applyAlignment="1" applyProtection="1">
      <alignment horizontal="center"/>
      <protection locked="0"/>
    </xf>
    <xf numFmtId="167" fontId="9" fillId="2" borderId="59" xfId="2" applyNumberFormat="1" applyFont="1" applyFill="1" applyBorder="1" applyAlignment="1" applyProtection="1">
      <alignment horizontal="center"/>
      <protection locked="0"/>
    </xf>
    <xf numFmtId="167" fontId="9" fillId="2" borderId="60" xfId="2" applyNumberFormat="1" applyFont="1" applyFill="1" applyBorder="1" applyAlignment="1" applyProtection="1">
      <alignment horizontal="center"/>
      <protection locked="0"/>
    </xf>
    <xf numFmtId="165" fontId="2" fillId="2" borderId="25" xfId="1" applyNumberFormat="1" applyFont="1" applyFill="1" applyBorder="1"/>
    <xf numFmtId="165" fontId="8" fillId="2" borderId="25" xfId="1" applyNumberFormat="1" applyFont="1" applyFill="1" applyBorder="1"/>
    <xf numFmtId="3" fontId="6" fillId="2" borderId="0" xfId="0" applyNumberFormat="1" applyFont="1" applyFill="1" applyAlignment="1">
      <alignment horizontal="center" vertical="center" readingOrder="1"/>
    </xf>
    <xf numFmtId="9" fontId="0" fillId="2" borderId="0" xfId="0" applyNumberFormat="1" applyFill="1"/>
    <xf numFmtId="0" fontId="0" fillId="2" borderId="62" xfId="0" applyFill="1" applyBorder="1" applyAlignment="1">
      <alignment horizontal="center"/>
    </xf>
    <xf numFmtId="0" fontId="0" fillId="2" borderId="63" xfId="0" applyFill="1" applyBorder="1" applyAlignment="1">
      <alignment horizontal="center"/>
    </xf>
    <xf numFmtId="0" fontId="0" fillId="2" borderId="64" xfId="0" applyFill="1" applyBorder="1" applyAlignment="1">
      <alignment horizontal="center"/>
    </xf>
    <xf numFmtId="3" fontId="3" fillId="2" borderId="50" xfId="2" applyNumberFormat="1" applyFont="1" applyFill="1" applyBorder="1" applyAlignment="1">
      <alignment horizontal="right"/>
    </xf>
    <xf numFmtId="3" fontId="3" fillId="2" borderId="34" xfId="2" applyNumberFormat="1" applyFont="1" applyFill="1" applyBorder="1" applyAlignment="1">
      <alignment horizontal="right"/>
    </xf>
    <xf numFmtId="3" fontId="3" fillId="2" borderId="51" xfId="2" applyNumberFormat="1" applyFont="1" applyFill="1" applyBorder="1" applyAlignment="1">
      <alignment horizontal="right"/>
    </xf>
    <xf numFmtId="167" fontId="3" fillId="2" borderId="58" xfId="2" applyNumberFormat="1" applyFont="1" applyFill="1" applyBorder="1" applyAlignment="1">
      <alignment horizontal="center"/>
    </xf>
    <xf numFmtId="167" fontId="3" fillId="2" borderId="59" xfId="2" applyNumberFormat="1" applyFont="1" applyFill="1" applyBorder="1" applyAlignment="1">
      <alignment horizontal="center"/>
    </xf>
    <xf numFmtId="167" fontId="3" fillId="2" borderId="60" xfId="2" applyNumberFormat="1" applyFont="1" applyFill="1" applyBorder="1" applyAlignment="1">
      <alignment horizontal="center"/>
    </xf>
    <xf numFmtId="0" fontId="16" fillId="2" borderId="1" xfId="0" applyFont="1" applyFill="1" applyBorder="1" applyAlignment="1" applyProtection="1">
      <alignment horizontal="left" vertical="center" indent="1"/>
      <protection locked="0"/>
    </xf>
    <xf numFmtId="0" fontId="16" fillId="2" borderId="0" xfId="0" applyFont="1" applyFill="1" applyBorder="1" applyAlignment="1" applyProtection="1">
      <alignment horizontal="left" vertical="center" indent="1"/>
      <protection locked="0"/>
    </xf>
    <xf numFmtId="0" fontId="16" fillId="2" borderId="1" xfId="0" applyFont="1" applyFill="1" applyBorder="1" applyAlignment="1" applyProtection="1">
      <alignment horizontal="left" vertical="center" wrapText="1" indent="1"/>
      <protection locked="0"/>
    </xf>
    <xf numFmtId="0" fontId="16" fillId="2" borderId="2" xfId="0" applyFont="1" applyFill="1" applyBorder="1" applyAlignment="1" applyProtection="1">
      <alignment horizontal="left" vertical="center" indent="1"/>
      <protection locked="0"/>
    </xf>
    <xf numFmtId="0" fontId="16" fillId="2" borderId="32" xfId="0" applyFont="1" applyFill="1" applyBorder="1" applyAlignment="1" applyProtection="1">
      <alignment horizontal="left" vertical="center" wrapText="1" indent="1"/>
      <protection locked="0"/>
    </xf>
    <xf numFmtId="0" fontId="16" fillId="2" borderId="25" xfId="0" applyFont="1" applyFill="1" applyBorder="1" applyAlignment="1" applyProtection="1">
      <alignment horizontal="left" vertical="center" indent="1"/>
      <protection locked="0"/>
    </xf>
    <xf numFmtId="164" fontId="9" fillId="6" borderId="0" xfId="1" applyFont="1" applyFill="1" applyBorder="1" applyAlignment="1" applyProtection="1">
      <alignment horizontal="center"/>
      <protection locked="0"/>
    </xf>
    <xf numFmtId="0" fontId="0" fillId="6" borderId="0" xfId="0" applyFill="1" applyBorder="1" applyProtection="1">
      <protection locked="0"/>
    </xf>
    <xf numFmtId="0" fontId="0" fillId="6" borderId="32" xfId="0" applyFill="1" applyBorder="1" applyProtection="1">
      <protection locked="0"/>
    </xf>
    <xf numFmtId="0" fontId="0" fillId="6" borderId="32" xfId="0" applyFill="1" applyBorder="1" applyAlignment="1" applyProtection="1">
      <alignment horizontal="center"/>
      <protection locked="0"/>
    </xf>
    <xf numFmtId="0" fontId="0" fillId="6" borderId="0" xfId="0" applyFill="1" applyBorder="1" applyAlignment="1" applyProtection="1">
      <alignment horizontal="center"/>
      <protection locked="0"/>
    </xf>
    <xf numFmtId="0" fontId="0" fillId="6" borderId="25" xfId="0" applyFill="1" applyBorder="1" applyProtection="1">
      <protection locked="0"/>
    </xf>
    <xf numFmtId="164" fontId="9" fillId="6" borderId="25" xfId="1" applyFont="1" applyFill="1" applyBorder="1" applyAlignment="1" applyProtection="1">
      <alignment horizontal="center"/>
      <protection locked="0"/>
    </xf>
    <xf numFmtId="166" fontId="7" fillId="6" borderId="0" xfId="1" applyNumberFormat="1" applyFont="1" applyFill="1" applyBorder="1" applyAlignment="1" applyProtection="1">
      <alignment horizontal="center"/>
      <protection locked="0"/>
    </xf>
    <xf numFmtId="167" fontId="0" fillId="6" borderId="4" xfId="2" applyNumberFormat="1" applyFont="1" applyFill="1" applyBorder="1" applyAlignment="1">
      <alignment horizontal="center"/>
    </xf>
    <xf numFmtId="167" fontId="0" fillId="6" borderId="5" xfId="2" applyNumberFormat="1" applyFont="1" applyFill="1" applyBorder="1" applyAlignment="1">
      <alignment horizontal="center"/>
    </xf>
    <xf numFmtId="167" fontId="0" fillId="6" borderId="3" xfId="2" applyNumberFormat="1" applyFont="1" applyFill="1" applyBorder="1" applyAlignment="1">
      <alignment horizontal="center"/>
    </xf>
    <xf numFmtId="167" fontId="0" fillId="6" borderId="32" xfId="2" applyNumberFormat="1" applyFont="1" applyFill="1" applyBorder="1" applyAlignment="1">
      <alignment horizontal="center"/>
    </xf>
    <xf numFmtId="167" fontId="0" fillId="6" borderId="0" xfId="2" applyNumberFormat="1" applyFont="1" applyFill="1" applyBorder="1" applyAlignment="1">
      <alignment horizontal="center"/>
    </xf>
    <xf numFmtId="167" fontId="0" fillId="6" borderId="25" xfId="2" applyNumberFormat="1" applyFont="1" applyFill="1" applyBorder="1" applyAlignment="1">
      <alignment horizontal="center"/>
    </xf>
    <xf numFmtId="9" fontId="18" fillId="2" borderId="39" xfId="2" applyFont="1" applyFill="1" applyBorder="1" applyAlignment="1">
      <alignment horizontal="right"/>
    </xf>
    <xf numFmtId="9" fontId="18" fillId="2" borderId="41" xfId="2" applyFont="1" applyFill="1" applyBorder="1" applyAlignment="1">
      <alignment horizontal="right"/>
    </xf>
    <xf numFmtId="9" fontId="18" fillId="2" borderId="37" xfId="2" applyFont="1" applyFill="1" applyBorder="1" applyAlignment="1">
      <alignment horizontal="right"/>
    </xf>
    <xf numFmtId="165" fontId="17" fillId="2" borderId="32" xfId="1" applyNumberFormat="1" applyFont="1" applyFill="1" applyBorder="1"/>
    <xf numFmtId="9" fontId="18" fillId="2" borderId="35" xfId="2" applyFont="1" applyFill="1" applyBorder="1" applyAlignment="1">
      <alignment horizontal="right"/>
    </xf>
    <xf numFmtId="165" fontId="17" fillId="2" borderId="0" xfId="1" applyNumberFormat="1" applyFont="1" applyFill="1" applyBorder="1"/>
    <xf numFmtId="165" fontId="17" fillId="2" borderId="25" xfId="1" applyNumberFormat="1" applyFont="1" applyFill="1" applyBorder="1"/>
    <xf numFmtId="9" fontId="18" fillId="2" borderId="43" xfId="2" applyFont="1" applyFill="1" applyBorder="1" applyAlignment="1">
      <alignment horizontal="right"/>
    </xf>
    <xf numFmtId="165" fontId="17" fillId="2" borderId="7" xfId="0" applyNumberFormat="1" applyFont="1" applyFill="1" applyBorder="1"/>
    <xf numFmtId="9" fontId="18" fillId="2" borderId="4" xfId="2" applyFont="1" applyFill="1" applyBorder="1" applyAlignment="1">
      <alignment horizontal="right"/>
    </xf>
    <xf numFmtId="166" fontId="17" fillId="2" borderId="39" xfId="1" applyNumberFormat="1" applyFont="1" applyFill="1" applyBorder="1" applyAlignment="1">
      <alignment horizontal="center"/>
    </xf>
    <xf numFmtId="167" fontId="8" fillId="2" borderId="54" xfId="2" applyNumberFormat="1" applyFont="1" applyFill="1" applyBorder="1" applyAlignment="1">
      <alignment horizontal="center"/>
    </xf>
    <xf numFmtId="165" fontId="17" fillId="2" borderId="6" xfId="0" applyNumberFormat="1" applyFont="1" applyFill="1" applyBorder="1"/>
    <xf numFmtId="9" fontId="18" fillId="2" borderId="5" xfId="2" applyFont="1" applyFill="1" applyBorder="1" applyAlignment="1">
      <alignment horizontal="right"/>
    </xf>
    <xf numFmtId="166" fontId="17" fillId="2" borderId="41" xfId="1" applyNumberFormat="1" applyFont="1" applyFill="1" applyBorder="1" applyAlignment="1">
      <alignment horizontal="center"/>
    </xf>
    <xf numFmtId="167" fontId="8" fillId="2" borderId="56" xfId="2" applyNumberFormat="1" applyFont="1" applyFill="1" applyBorder="1" applyAlignment="1">
      <alignment horizontal="center"/>
    </xf>
    <xf numFmtId="165" fontId="17" fillId="2" borderId="8" xfId="0" applyNumberFormat="1" applyFont="1" applyFill="1" applyBorder="1"/>
    <xf numFmtId="9" fontId="18" fillId="2" borderId="3" xfId="2" applyFont="1" applyFill="1" applyBorder="1" applyAlignment="1">
      <alignment horizontal="right"/>
    </xf>
    <xf numFmtId="166" fontId="17" fillId="2" borderId="37" xfId="1" applyNumberFormat="1" applyFont="1" applyFill="1" applyBorder="1" applyAlignment="1">
      <alignment horizontal="center"/>
    </xf>
    <xf numFmtId="167" fontId="8" fillId="2" borderId="52" xfId="2" applyNumberFormat="1" applyFont="1" applyFill="1" applyBorder="1" applyAlignment="1">
      <alignment horizontal="center"/>
    </xf>
    <xf numFmtId="165" fontId="17" fillId="2" borderId="32" xfId="0" applyNumberFormat="1" applyFont="1" applyFill="1" applyBorder="1"/>
    <xf numFmtId="9" fontId="18" fillId="2" borderId="32" xfId="2" applyFont="1" applyFill="1" applyBorder="1" applyAlignment="1">
      <alignment horizontal="right"/>
    </xf>
    <xf numFmtId="166" fontId="17" fillId="2" borderId="35" xfId="1" applyNumberFormat="1" applyFont="1" applyFill="1" applyBorder="1" applyAlignment="1">
      <alignment horizontal="center"/>
    </xf>
    <xf numFmtId="167" fontId="8" fillId="2" borderId="32" xfId="2" applyNumberFormat="1" applyFont="1" applyFill="1" applyBorder="1" applyAlignment="1">
      <alignment horizontal="center"/>
    </xf>
    <xf numFmtId="165" fontId="17" fillId="2" borderId="0" xfId="0" applyNumberFormat="1" applyFont="1" applyFill="1" applyBorder="1"/>
    <xf numFmtId="9" fontId="18" fillId="2" borderId="0" xfId="2" applyFont="1" applyFill="1" applyBorder="1" applyAlignment="1">
      <alignment horizontal="right"/>
    </xf>
    <xf numFmtId="167" fontId="8" fillId="2" borderId="0" xfId="2" applyNumberFormat="1" applyFont="1" applyFill="1" applyBorder="1" applyAlignment="1">
      <alignment horizontal="center"/>
    </xf>
    <xf numFmtId="165" fontId="17" fillId="2" borderId="25" xfId="0" applyNumberFormat="1" applyFont="1" applyFill="1" applyBorder="1"/>
    <xf numFmtId="9" fontId="18" fillId="2" borderId="25" xfId="2" applyFont="1" applyFill="1" applyBorder="1" applyAlignment="1">
      <alignment horizontal="right"/>
    </xf>
    <xf numFmtId="166" fontId="17" fillId="2" borderId="43" xfId="1" applyNumberFormat="1" applyFont="1" applyFill="1" applyBorder="1" applyAlignment="1">
      <alignment horizontal="center"/>
    </xf>
    <xf numFmtId="167" fontId="8" fillId="2" borderId="25" xfId="2" applyNumberFormat="1" applyFont="1" applyFill="1" applyBorder="1" applyAlignment="1">
      <alignment horizontal="center"/>
    </xf>
    <xf numFmtId="167" fontId="8" fillId="2" borderId="55" xfId="2" applyNumberFormat="1" applyFont="1" applyFill="1" applyBorder="1" applyAlignment="1">
      <alignment horizontal="center"/>
    </xf>
    <xf numFmtId="167" fontId="8" fillId="2" borderId="57" xfId="2" applyNumberFormat="1" applyFont="1" applyFill="1" applyBorder="1" applyAlignment="1">
      <alignment horizontal="center"/>
    </xf>
    <xf numFmtId="167" fontId="8" fillId="2" borderId="53" xfId="2" applyNumberFormat="1" applyFont="1" applyFill="1" applyBorder="1" applyAlignment="1">
      <alignment horizontal="center"/>
    </xf>
    <xf numFmtId="167" fontId="8" fillId="2" borderId="35" xfId="2" applyNumberFormat="1" applyFont="1" applyFill="1" applyBorder="1" applyAlignment="1">
      <alignment horizontal="center"/>
    </xf>
    <xf numFmtId="167" fontId="8" fillId="2" borderId="41" xfId="2" applyNumberFormat="1" applyFont="1" applyFill="1" applyBorder="1" applyAlignment="1">
      <alignment horizontal="center"/>
    </xf>
    <xf numFmtId="167" fontId="8" fillId="2" borderId="43" xfId="2" applyNumberFormat="1" applyFont="1" applyFill="1" applyBorder="1" applyAlignment="1">
      <alignment horizontal="center"/>
    </xf>
    <xf numFmtId="167" fontId="9" fillId="6" borderId="54" xfId="2" applyNumberFormat="1" applyFont="1" applyFill="1" applyBorder="1" applyAlignment="1" applyProtection="1">
      <alignment horizontal="center"/>
      <protection locked="0"/>
    </xf>
    <xf numFmtId="167" fontId="9" fillId="6" borderId="10" xfId="2" applyNumberFormat="1" applyFont="1" applyFill="1" applyBorder="1" applyAlignment="1" applyProtection="1">
      <alignment horizontal="center"/>
      <protection locked="0"/>
    </xf>
    <xf numFmtId="167" fontId="9" fillId="6" borderId="55" xfId="2" applyNumberFormat="1" applyFont="1" applyFill="1" applyBorder="1" applyAlignment="1" applyProtection="1">
      <alignment horizontal="center"/>
      <protection locked="0"/>
    </xf>
    <xf numFmtId="167" fontId="9" fillId="6" borderId="56" xfId="2" applyNumberFormat="1" applyFont="1" applyFill="1" applyBorder="1" applyAlignment="1" applyProtection="1">
      <alignment horizontal="center"/>
      <protection locked="0"/>
    </xf>
    <xf numFmtId="167" fontId="9" fillId="6" borderId="9" xfId="2" applyNumberFormat="1" applyFont="1" applyFill="1" applyBorder="1" applyAlignment="1" applyProtection="1">
      <alignment horizontal="center"/>
      <protection locked="0"/>
    </xf>
    <xf numFmtId="167" fontId="9" fillId="6" borderId="57" xfId="2" applyNumberFormat="1" applyFont="1" applyFill="1" applyBorder="1" applyAlignment="1" applyProtection="1">
      <alignment horizontal="center"/>
      <protection locked="0"/>
    </xf>
    <xf numFmtId="167" fontId="9" fillId="6" borderId="58" xfId="2" applyNumberFormat="1" applyFont="1" applyFill="1" applyBorder="1" applyAlignment="1" applyProtection="1">
      <alignment horizontal="center"/>
      <protection locked="0"/>
    </xf>
    <xf numFmtId="167" fontId="9" fillId="6" borderId="59" xfId="2" applyNumberFormat="1" applyFont="1" applyFill="1" applyBorder="1" applyAlignment="1" applyProtection="1">
      <alignment horizontal="center"/>
      <protection locked="0"/>
    </xf>
    <xf numFmtId="167" fontId="9" fillId="6" borderId="60" xfId="2" applyNumberFormat="1" applyFont="1" applyFill="1" applyBorder="1" applyAlignment="1" applyProtection="1">
      <alignment horizontal="center"/>
      <protection locked="0"/>
    </xf>
    <xf numFmtId="9" fontId="9" fillId="6" borderId="40" xfId="2" applyFont="1" applyFill="1" applyBorder="1" applyAlignment="1" applyProtection="1">
      <alignment horizontal="center"/>
      <protection locked="0"/>
    </xf>
    <xf numFmtId="9" fontId="9" fillId="6" borderId="42" xfId="2" applyFont="1" applyFill="1" applyBorder="1" applyAlignment="1" applyProtection="1">
      <alignment horizontal="center"/>
      <protection locked="0"/>
    </xf>
    <xf numFmtId="165" fontId="8" fillId="2" borderId="54" xfId="1" applyNumberFormat="1" applyFont="1" applyFill="1" applyBorder="1" applyAlignment="1">
      <alignment horizontal="center"/>
    </xf>
    <xf numFmtId="165" fontId="8" fillId="2" borderId="10" xfId="1" applyNumberFormat="1" applyFont="1" applyFill="1" applyBorder="1" applyAlignment="1">
      <alignment horizontal="center"/>
    </xf>
    <xf numFmtId="165" fontId="8" fillId="2" borderId="55" xfId="1" applyNumberFormat="1" applyFont="1" applyFill="1" applyBorder="1" applyAlignment="1">
      <alignment horizontal="center"/>
    </xf>
    <xf numFmtId="165" fontId="8" fillId="2" borderId="56" xfId="1" applyNumberFormat="1" applyFont="1" applyFill="1" applyBorder="1" applyAlignment="1">
      <alignment horizontal="center"/>
    </xf>
    <xf numFmtId="165" fontId="8" fillId="2" borderId="9" xfId="1" applyNumberFormat="1" applyFont="1" applyFill="1" applyBorder="1" applyAlignment="1">
      <alignment horizontal="center"/>
    </xf>
    <xf numFmtId="165" fontId="8" fillId="2" borderId="57" xfId="1" applyNumberFormat="1" applyFont="1" applyFill="1" applyBorder="1" applyAlignment="1">
      <alignment horizontal="center"/>
    </xf>
    <xf numFmtId="165" fontId="8" fillId="2" borderId="50" xfId="1" applyNumberFormat="1" applyFont="1" applyFill="1" applyBorder="1" applyAlignment="1">
      <alignment horizontal="center"/>
    </xf>
    <xf numFmtId="165" fontId="8" fillId="2" borderId="34" xfId="1" applyNumberFormat="1" applyFont="1" applyFill="1" applyBorder="1" applyAlignment="1">
      <alignment horizontal="center"/>
    </xf>
    <xf numFmtId="165" fontId="8" fillId="2" borderId="51" xfId="1" applyNumberFormat="1" applyFont="1" applyFill="1" applyBorder="1" applyAlignment="1">
      <alignment horizontal="center"/>
    </xf>
    <xf numFmtId="165" fontId="8" fillId="2" borderId="58" xfId="1" applyNumberFormat="1" applyFont="1" applyFill="1" applyBorder="1" applyAlignment="1">
      <alignment horizontal="center"/>
    </xf>
    <xf numFmtId="165" fontId="8" fillId="2" borderId="59" xfId="1" applyNumberFormat="1" applyFont="1" applyFill="1" applyBorder="1" applyAlignment="1">
      <alignment horizontal="center"/>
    </xf>
    <xf numFmtId="165" fontId="8" fillId="2" borderId="60" xfId="1" applyNumberFormat="1" applyFont="1" applyFill="1" applyBorder="1" applyAlignment="1">
      <alignment horizontal="center"/>
    </xf>
    <xf numFmtId="0" fontId="19" fillId="7" borderId="42" xfId="0" applyFont="1" applyFill="1" applyBorder="1" applyAlignment="1">
      <alignment vertical="center"/>
    </xf>
    <xf numFmtId="0" fontId="19" fillId="7" borderId="25" xfId="0" applyFont="1" applyFill="1" applyBorder="1" applyAlignment="1">
      <alignment vertical="center"/>
    </xf>
    <xf numFmtId="0" fontId="19" fillId="7" borderId="25" xfId="0" applyFont="1" applyFill="1" applyBorder="1" applyAlignment="1" applyProtection="1">
      <alignment horizontal="center" vertical="center"/>
    </xf>
    <xf numFmtId="165" fontId="19" fillId="7" borderId="25" xfId="1" applyNumberFormat="1" applyFont="1" applyFill="1" applyBorder="1" applyAlignment="1">
      <alignment vertical="center"/>
    </xf>
    <xf numFmtId="0" fontId="19" fillId="7" borderId="43" xfId="0" applyFont="1" applyFill="1" applyBorder="1" applyAlignment="1">
      <alignment vertical="center"/>
    </xf>
    <xf numFmtId="10" fontId="19" fillId="7" borderId="25" xfId="2" applyNumberFormat="1" applyFont="1" applyFill="1" applyBorder="1" applyAlignment="1">
      <alignment horizontal="center" vertical="center"/>
    </xf>
    <xf numFmtId="165" fontId="19" fillId="7" borderId="25" xfId="0" applyNumberFormat="1" applyFont="1" applyFill="1" applyBorder="1" applyAlignment="1">
      <alignment vertical="center"/>
    </xf>
    <xf numFmtId="9" fontId="19" fillId="7" borderId="42" xfId="2" applyFont="1" applyFill="1" applyBorder="1" applyAlignment="1">
      <alignment horizontal="center" vertical="center"/>
    </xf>
    <xf numFmtId="9" fontId="19" fillId="7" borderId="43" xfId="2" applyFont="1" applyFill="1" applyBorder="1" applyAlignment="1">
      <alignment horizontal="center" vertical="center"/>
    </xf>
    <xf numFmtId="0" fontId="19" fillId="7" borderId="0" xfId="0" applyFont="1" applyFill="1" applyAlignment="1">
      <alignment vertical="center"/>
    </xf>
    <xf numFmtId="0" fontId="19" fillId="7" borderId="0" xfId="0" applyFont="1" applyFill="1" applyAlignment="1">
      <alignment horizontal="center" vertical="center"/>
    </xf>
    <xf numFmtId="165" fontId="19" fillId="7" borderId="0" xfId="0" applyNumberFormat="1" applyFont="1" applyFill="1" applyAlignment="1">
      <alignment vertical="center"/>
    </xf>
    <xf numFmtId="9" fontId="19" fillId="7" borderId="0" xfId="2" applyFont="1" applyFill="1" applyAlignment="1">
      <alignment horizontal="center" vertical="center"/>
    </xf>
    <xf numFmtId="165" fontId="7" fillId="6" borderId="7" xfId="1" applyNumberFormat="1" applyFont="1" applyFill="1" applyBorder="1" applyProtection="1">
      <protection locked="0"/>
    </xf>
    <xf numFmtId="167" fontId="7" fillId="6" borderId="12" xfId="2" applyNumberFormat="1" applyFont="1" applyFill="1" applyBorder="1" applyAlignment="1" applyProtection="1">
      <alignment horizontal="center"/>
      <protection locked="0"/>
    </xf>
    <xf numFmtId="165" fontId="7" fillId="6" borderId="8" xfId="1" applyNumberFormat="1" applyFont="1" applyFill="1" applyBorder="1" applyProtection="1">
      <protection locked="0"/>
    </xf>
    <xf numFmtId="167" fontId="7" fillId="6" borderId="13" xfId="2" applyNumberFormat="1" applyFont="1" applyFill="1" applyBorder="1" applyAlignment="1" applyProtection="1">
      <alignment horizontal="center"/>
      <protection locked="0"/>
    </xf>
    <xf numFmtId="165" fontId="7" fillId="6" borderId="2" xfId="1" applyNumberFormat="1" applyFont="1" applyFill="1" applyBorder="1" applyProtection="1">
      <protection locked="0"/>
    </xf>
    <xf numFmtId="165" fontId="17" fillId="2" borderId="1" xfId="1" applyNumberFormat="1" applyFont="1" applyFill="1" applyBorder="1"/>
    <xf numFmtId="165" fontId="17" fillId="2" borderId="2" xfId="1" applyNumberFormat="1" applyFont="1" applyFill="1" applyBorder="1"/>
    <xf numFmtId="0" fontId="0" fillId="0" borderId="0" xfId="0" applyBorder="1" applyAlignment="1">
      <alignment horizontal="center" vertical="center"/>
    </xf>
    <xf numFmtId="166" fontId="3" fillId="3" borderId="0" xfId="1" applyNumberFormat="1" applyFont="1" applyFill="1" applyBorder="1" applyAlignment="1">
      <alignment horizontal="center"/>
    </xf>
    <xf numFmtId="166" fontId="3" fillId="5" borderId="0" xfId="1" applyNumberFormat="1" applyFont="1" applyFill="1" applyBorder="1" applyAlignment="1">
      <alignment horizontal="center"/>
    </xf>
    <xf numFmtId="0" fontId="0" fillId="6" borderId="25" xfId="0" applyFill="1" applyBorder="1" applyAlignment="1" applyProtection="1">
      <alignment horizontal="center"/>
      <protection locked="0"/>
    </xf>
    <xf numFmtId="166" fontId="3" fillId="3" borderId="25" xfId="1" applyNumberFormat="1" applyFont="1" applyFill="1" applyBorder="1" applyAlignment="1" applyProtection="1">
      <alignment horizontal="center"/>
      <protection locked="0"/>
    </xf>
    <xf numFmtId="166" fontId="3" fillId="3" borderId="25" xfId="1" applyNumberFormat="1" applyFont="1" applyFill="1" applyBorder="1" applyAlignment="1">
      <alignment horizontal="center"/>
    </xf>
    <xf numFmtId="166" fontId="7" fillId="6" borderId="25" xfId="1" applyNumberFormat="1" applyFont="1" applyFill="1" applyBorder="1" applyAlignment="1" applyProtection="1">
      <alignment horizontal="center"/>
      <protection locked="0"/>
    </xf>
    <xf numFmtId="164" fontId="9" fillId="6" borderId="32" xfId="1" applyFont="1" applyFill="1" applyBorder="1" applyAlignment="1" applyProtection="1">
      <alignment horizontal="center"/>
      <protection locked="0"/>
    </xf>
    <xf numFmtId="166" fontId="3" fillId="3" borderId="32" xfId="1" applyNumberFormat="1" applyFont="1" applyFill="1" applyBorder="1" applyAlignment="1" applyProtection="1">
      <alignment horizontal="center"/>
      <protection locked="0"/>
    </xf>
    <xf numFmtId="166" fontId="3" fillId="3" borderId="32" xfId="1" applyNumberFormat="1" applyFont="1" applyFill="1" applyBorder="1" applyAlignment="1">
      <alignment horizontal="center"/>
    </xf>
    <xf numFmtId="0" fontId="17" fillId="6" borderId="31" xfId="0" applyFont="1" applyFill="1" applyBorder="1"/>
    <xf numFmtId="0" fontId="17" fillId="6" borderId="32" xfId="0" applyFont="1" applyFill="1" applyBorder="1"/>
    <xf numFmtId="0" fontId="17" fillId="6" borderId="32" xfId="0" applyFont="1" applyFill="1" applyBorder="1" applyAlignment="1">
      <alignment horizontal="center"/>
    </xf>
    <xf numFmtId="0" fontId="17" fillId="6" borderId="35" xfId="0" applyFont="1" applyFill="1" applyBorder="1" applyAlignment="1">
      <alignment horizontal="center"/>
    </xf>
    <xf numFmtId="0" fontId="17" fillId="6" borderId="40" xfId="0" applyFont="1" applyFill="1" applyBorder="1"/>
    <xf numFmtId="0" fontId="17" fillId="6" borderId="0" xfId="0" applyFont="1" applyFill="1" applyBorder="1"/>
    <xf numFmtId="0" fontId="17" fillId="6" borderId="0" xfId="0" applyFont="1" applyFill="1" applyBorder="1" applyAlignment="1">
      <alignment horizontal="center"/>
    </xf>
    <xf numFmtId="0" fontId="17" fillId="6" borderId="41" xfId="0" applyFont="1" applyFill="1" applyBorder="1" applyAlignment="1">
      <alignment horizontal="center"/>
    </xf>
    <xf numFmtId="0" fontId="17" fillId="6" borderId="42" xfId="0" applyFont="1" applyFill="1" applyBorder="1"/>
    <xf numFmtId="9" fontId="17" fillId="6" borderId="0" xfId="2" applyFont="1" applyFill="1" applyBorder="1" applyAlignment="1">
      <alignment horizontal="center"/>
    </xf>
    <xf numFmtId="9" fontId="17" fillId="6" borderId="25" xfId="2" applyFont="1" applyFill="1" applyBorder="1" applyAlignment="1">
      <alignment horizontal="center"/>
    </xf>
    <xf numFmtId="9" fontId="17" fillId="6" borderId="41" xfId="2" applyFont="1" applyFill="1" applyBorder="1" applyAlignment="1">
      <alignment horizontal="center"/>
    </xf>
    <xf numFmtId="9" fontId="17" fillId="6" borderId="43" xfId="2" applyFont="1" applyFill="1" applyBorder="1" applyAlignment="1">
      <alignment horizontal="center"/>
    </xf>
    <xf numFmtId="9" fontId="17" fillId="6" borderId="40" xfId="2" applyFont="1" applyFill="1" applyBorder="1" applyAlignment="1">
      <alignment horizontal="center"/>
    </xf>
    <xf numFmtId="9" fontId="17" fillId="6" borderId="42" xfId="2" applyFont="1" applyFill="1" applyBorder="1" applyAlignment="1">
      <alignment horizontal="center"/>
    </xf>
    <xf numFmtId="0" fontId="7" fillId="8" borderId="3" xfId="0" applyFont="1" applyFill="1" applyBorder="1" applyAlignment="1" applyProtection="1">
      <alignment horizontal="center"/>
      <protection locked="0"/>
    </xf>
    <xf numFmtId="0" fontId="0" fillId="0" borderId="0" xfId="0" applyAlignment="1"/>
    <xf numFmtId="0" fontId="20" fillId="0" borderId="0" xfId="0" applyFont="1" applyAlignment="1">
      <alignment horizontal="center"/>
    </xf>
    <xf numFmtId="0" fontId="20" fillId="2" borderId="0" xfId="0" applyFont="1" applyFill="1" applyAlignment="1">
      <alignment horizontal="center"/>
    </xf>
    <xf numFmtId="0" fontId="21" fillId="0" borderId="0" xfId="3" applyBorder="1" applyAlignment="1">
      <alignment horizontal="center"/>
    </xf>
    <xf numFmtId="0" fontId="22" fillId="0" borderId="0" xfId="0" applyFont="1" applyAlignment="1">
      <alignment vertical="center"/>
    </xf>
    <xf numFmtId="164" fontId="17" fillId="6" borderId="40" xfId="1" applyFont="1" applyFill="1" applyBorder="1"/>
    <xf numFmtId="164" fontId="17" fillId="6" borderId="0" xfId="1" applyFont="1" applyFill="1" applyBorder="1"/>
    <xf numFmtId="164" fontId="17" fillId="6" borderId="42" xfId="1" applyFont="1" applyFill="1" applyBorder="1"/>
    <xf numFmtId="164" fontId="17" fillId="6" borderId="25" xfId="1" applyFont="1" applyFill="1" applyBorder="1"/>
    <xf numFmtId="0" fontId="0" fillId="6" borderId="41" xfId="0" applyFill="1" applyBorder="1" applyAlignment="1" applyProtection="1">
      <alignment horizontal="center"/>
      <protection locked="0"/>
    </xf>
    <xf numFmtId="0" fontId="0" fillId="6" borderId="43" xfId="0" applyFill="1" applyBorder="1" applyAlignment="1" applyProtection="1">
      <alignment horizontal="center"/>
      <protection locked="0"/>
    </xf>
    <xf numFmtId="0" fontId="0" fillId="0" borderId="0" xfId="0" applyBorder="1"/>
    <xf numFmtId="0" fontId="0" fillId="0" borderId="89" xfId="0" applyBorder="1"/>
    <xf numFmtId="0" fontId="0" fillId="0" borderId="90" xfId="0" applyBorder="1"/>
    <xf numFmtId="0" fontId="0" fillId="0" borderId="92" xfId="0" applyBorder="1"/>
    <xf numFmtId="0" fontId="0" fillId="0" borderId="94" xfId="0" applyBorder="1"/>
    <xf numFmtId="0" fontId="0" fillId="0" borderId="95" xfId="0" applyBorder="1"/>
    <xf numFmtId="9" fontId="0" fillId="0" borderId="90" xfId="2" applyFont="1" applyBorder="1" applyAlignment="1">
      <alignment horizontal="center"/>
    </xf>
    <xf numFmtId="9" fontId="0" fillId="0" borderId="91" xfId="2" applyFont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67" xfId="0" applyFill="1" applyBorder="1" applyAlignment="1">
      <alignment horizontal="center"/>
    </xf>
    <xf numFmtId="0" fontId="0" fillId="2" borderId="68" xfId="0" applyFill="1" applyBorder="1" applyAlignment="1">
      <alignment horizontal="center"/>
    </xf>
    <xf numFmtId="0" fontId="16" fillId="2" borderId="38" xfId="0" applyFont="1" applyFill="1" applyBorder="1" applyAlignment="1">
      <alignment horizontal="left" vertical="center" indent="1"/>
    </xf>
    <xf numFmtId="0" fontId="16" fillId="2" borderId="40" xfId="0" applyFont="1" applyFill="1" applyBorder="1" applyAlignment="1">
      <alignment horizontal="left" vertical="center" indent="1"/>
    </xf>
    <xf numFmtId="0" fontId="0" fillId="0" borderId="34" xfId="0" applyBorder="1" applyAlignment="1">
      <alignment horizontal="center" vertical="center"/>
    </xf>
    <xf numFmtId="0" fontId="0" fillId="2" borderId="51" xfId="0" applyFill="1" applyBorder="1" applyAlignment="1">
      <alignment horizontal="center" vertical="center" wrapText="1"/>
    </xf>
    <xf numFmtId="0" fontId="0" fillId="2" borderId="53" xfId="0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2" borderId="65" xfId="0" applyFont="1" applyFill="1" applyBorder="1" applyAlignment="1">
      <alignment horizontal="center" vertical="center" textRotation="90"/>
    </xf>
    <xf numFmtId="0" fontId="0" fillId="2" borderId="66" xfId="0" applyFont="1" applyFill="1" applyBorder="1" applyAlignment="1">
      <alignment horizontal="center" vertical="center" textRotation="90"/>
    </xf>
    <xf numFmtId="0" fontId="16" fillId="2" borderId="38" xfId="0" applyFont="1" applyFill="1" applyBorder="1" applyAlignment="1">
      <alignment horizontal="left" vertical="center" wrapText="1" indent="1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30" xfId="0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23" fillId="0" borderId="25" xfId="0" applyFont="1" applyBorder="1" applyAlignment="1">
      <alignment horizontal="center" wrapText="1"/>
    </xf>
    <xf numFmtId="0" fontId="0" fillId="0" borderId="48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9" xfId="0" applyBorder="1" applyAlignment="1">
      <alignment horizontal="left"/>
    </xf>
    <xf numFmtId="0" fontId="0" fillId="2" borderId="50" xfId="0" applyFill="1" applyBorder="1" applyAlignment="1">
      <alignment horizontal="center" vertical="center" wrapText="1"/>
    </xf>
    <xf numFmtId="0" fontId="0" fillId="2" borderId="52" xfId="0" applyFill="1" applyBorder="1" applyAlignment="1">
      <alignment horizontal="center" vertical="center" wrapText="1"/>
    </xf>
    <xf numFmtId="0" fontId="0" fillId="0" borderId="47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16" fillId="2" borderId="40" xfId="0" applyFont="1" applyFill="1" applyBorder="1" applyAlignment="1">
      <alignment horizontal="left" vertical="center" wrapText="1" indent="1"/>
    </xf>
    <xf numFmtId="0" fontId="0" fillId="0" borderId="9" xfId="0" applyBorder="1" applyAlignment="1">
      <alignment horizontal="center" vertical="center"/>
    </xf>
    <xf numFmtId="0" fontId="16" fillId="2" borderId="36" xfId="0" applyFont="1" applyFill="1" applyBorder="1" applyAlignment="1">
      <alignment horizontal="left" vertical="center" indent="1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6" fillId="2" borderId="38" xfId="0" applyFont="1" applyFill="1" applyBorder="1" applyAlignment="1">
      <alignment horizontal="left" vertical="center" wrapText="1"/>
    </xf>
    <xf numFmtId="0" fontId="16" fillId="2" borderId="40" xfId="0" applyFont="1" applyFill="1" applyBorder="1" applyAlignment="1">
      <alignment horizontal="left" vertical="center" wrapText="1"/>
    </xf>
    <xf numFmtId="0" fontId="16" fillId="2" borderId="42" xfId="0" applyFont="1" applyFill="1" applyBorder="1" applyAlignment="1">
      <alignment horizontal="left" vertical="center" wrapText="1"/>
    </xf>
    <xf numFmtId="0" fontId="0" fillId="0" borderId="33" xfId="0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0" fontId="0" fillId="2" borderId="50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2" borderId="51" xfId="0" applyFill="1" applyBorder="1" applyAlignment="1">
      <alignment horizontal="center"/>
    </xf>
    <xf numFmtId="3" fontId="16" fillId="2" borderId="0" xfId="1" applyNumberFormat="1" applyFont="1" applyFill="1" applyBorder="1" applyAlignment="1">
      <alignment horizontal="center" vertical="center"/>
    </xf>
    <xf numFmtId="3" fontId="16" fillId="2" borderId="25" xfId="1" applyNumberFormat="1" applyFont="1" applyFill="1" applyBorder="1" applyAlignment="1">
      <alignment horizontal="center" vertical="center"/>
    </xf>
    <xf numFmtId="3" fontId="4" fillId="2" borderId="45" xfId="1" applyNumberFormat="1" applyFont="1" applyFill="1" applyBorder="1" applyAlignment="1">
      <alignment horizontal="right" vertical="center"/>
    </xf>
    <xf numFmtId="3" fontId="4" fillId="2" borderId="46" xfId="1" applyNumberFormat="1" applyFont="1" applyFill="1" applyBorder="1" applyAlignment="1">
      <alignment horizontal="right" vertical="center"/>
    </xf>
    <xf numFmtId="9" fontId="4" fillId="2" borderId="44" xfId="2" applyFont="1" applyFill="1" applyBorder="1" applyAlignment="1">
      <alignment horizontal="right" vertical="center"/>
    </xf>
    <xf numFmtId="9" fontId="4" fillId="2" borderId="45" xfId="2" applyFont="1" applyFill="1" applyBorder="1" applyAlignment="1">
      <alignment horizontal="right" vertical="center"/>
    </xf>
    <xf numFmtId="168" fontId="5" fillId="2" borderId="71" xfId="0" applyNumberFormat="1" applyFont="1" applyFill="1" applyBorder="1" applyAlignment="1">
      <alignment horizontal="left" vertical="center" wrapText="1" indent="1"/>
    </xf>
    <xf numFmtId="168" fontId="5" fillId="2" borderId="72" xfId="0" applyNumberFormat="1" applyFont="1" applyFill="1" applyBorder="1" applyAlignment="1">
      <alignment horizontal="left" vertical="center" wrapText="1" indent="1"/>
    </xf>
    <xf numFmtId="168" fontId="5" fillId="2" borderId="73" xfId="0" applyNumberFormat="1" applyFont="1" applyFill="1" applyBorder="1" applyAlignment="1">
      <alignment horizontal="left" vertical="center" wrapText="1" indent="1"/>
    </xf>
    <xf numFmtId="168" fontId="5" fillId="2" borderId="74" xfId="0" applyNumberFormat="1" applyFont="1" applyFill="1" applyBorder="1" applyAlignment="1">
      <alignment horizontal="left" vertical="center" wrapText="1" indent="1"/>
    </xf>
    <xf numFmtId="168" fontId="5" fillId="2" borderId="70" xfId="0" applyNumberFormat="1" applyFont="1" applyFill="1" applyBorder="1" applyAlignment="1">
      <alignment horizontal="left" vertical="center" wrapText="1" indent="1"/>
    </xf>
    <xf numFmtId="168" fontId="5" fillId="2" borderId="75" xfId="0" applyNumberFormat="1" applyFont="1" applyFill="1" applyBorder="1" applyAlignment="1">
      <alignment horizontal="left" vertical="center" wrapText="1" indent="1"/>
    </xf>
    <xf numFmtId="0" fontId="5" fillId="2" borderId="74" xfId="0" applyFont="1" applyFill="1" applyBorder="1" applyAlignment="1">
      <alignment horizontal="left" vertical="center" indent="1"/>
    </xf>
    <xf numFmtId="0" fontId="5" fillId="2" borderId="70" xfId="0" applyFont="1" applyFill="1" applyBorder="1" applyAlignment="1">
      <alignment horizontal="left" vertical="center" indent="1"/>
    </xf>
    <xf numFmtId="0" fontId="5" fillId="2" borderId="75" xfId="0" applyFont="1" applyFill="1" applyBorder="1" applyAlignment="1">
      <alignment horizontal="left" vertical="center" indent="1"/>
    </xf>
    <xf numFmtId="0" fontId="5" fillId="2" borderId="76" xfId="0" applyFont="1" applyFill="1" applyBorder="1" applyAlignment="1">
      <alignment horizontal="left" vertical="center" indent="1"/>
    </xf>
    <xf numFmtId="0" fontId="5" fillId="2" borderId="77" xfId="0" applyFont="1" applyFill="1" applyBorder="1" applyAlignment="1">
      <alignment horizontal="left" vertical="center" indent="1"/>
    </xf>
    <xf numFmtId="0" fontId="5" fillId="2" borderId="78" xfId="0" applyFont="1" applyFill="1" applyBorder="1" applyAlignment="1">
      <alignment horizontal="left" vertical="center" indent="1"/>
    </xf>
    <xf numFmtId="169" fontId="16" fillId="2" borderId="0" xfId="0" applyNumberFormat="1" applyFont="1" applyFill="1" applyBorder="1" applyAlignment="1">
      <alignment horizontal="left" vertical="center" indent="1"/>
    </xf>
    <xf numFmtId="169" fontId="16" fillId="2" borderId="79" xfId="0" applyNumberFormat="1" applyFont="1" applyFill="1" applyBorder="1" applyAlignment="1">
      <alignment horizontal="left" vertical="center" indent="1"/>
    </xf>
    <xf numFmtId="170" fontId="5" fillId="2" borderId="74" xfId="0" applyNumberFormat="1" applyFont="1" applyFill="1" applyBorder="1" applyAlignment="1">
      <alignment horizontal="left" vertical="center" indent="1"/>
    </xf>
    <xf numFmtId="170" fontId="5" fillId="2" borderId="70" xfId="0" applyNumberFormat="1" applyFont="1" applyFill="1" applyBorder="1" applyAlignment="1">
      <alignment horizontal="left" vertical="center" indent="1"/>
    </xf>
    <xf numFmtId="170" fontId="5" fillId="2" borderId="75" xfId="0" applyNumberFormat="1" applyFont="1" applyFill="1" applyBorder="1" applyAlignment="1">
      <alignment horizontal="left" vertical="center" indent="1"/>
    </xf>
    <xf numFmtId="170" fontId="5" fillId="2" borderId="76" xfId="0" applyNumberFormat="1" applyFont="1" applyFill="1" applyBorder="1" applyAlignment="1">
      <alignment horizontal="left" vertical="center" indent="1"/>
    </xf>
    <xf numFmtId="170" fontId="5" fillId="2" borderId="77" xfId="0" applyNumberFormat="1" applyFont="1" applyFill="1" applyBorder="1" applyAlignment="1">
      <alignment horizontal="left" vertical="center" indent="1"/>
    </xf>
    <xf numFmtId="170" fontId="5" fillId="2" borderId="78" xfId="0" applyNumberFormat="1" applyFont="1" applyFill="1" applyBorder="1" applyAlignment="1">
      <alignment horizontal="left" vertical="center" indent="1"/>
    </xf>
    <xf numFmtId="0" fontId="5" fillId="2" borderId="0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173" fontId="4" fillId="2" borderId="15" xfId="2" applyNumberFormat="1" applyFont="1" applyFill="1" applyBorder="1" applyAlignment="1">
      <alignment horizontal="center" vertical="center"/>
    </xf>
    <xf numFmtId="173" fontId="4" fillId="2" borderId="16" xfId="2" applyNumberFormat="1" applyFont="1" applyFill="1" applyBorder="1" applyAlignment="1">
      <alignment horizontal="center" vertical="center"/>
    </xf>
    <xf numFmtId="9" fontId="4" fillId="2" borderId="15" xfId="2" applyFont="1" applyFill="1" applyBorder="1" applyAlignment="1">
      <alignment horizontal="center" vertical="center"/>
    </xf>
    <xf numFmtId="169" fontId="16" fillId="2" borderId="0" xfId="0" applyNumberFormat="1" applyFont="1" applyFill="1" applyBorder="1" applyAlignment="1">
      <alignment horizontal="left" vertical="center"/>
    </xf>
    <xf numFmtId="0" fontId="5" fillId="2" borderId="69" xfId="0" applyFont="1" applyFill="1" applyBorder="1" applyAlignment="1">
      <alignment horizontal="left" vertical="center" indent="1"/>
    </xf>
    <xf numFmtId="0" fontId="5" fillId="2" borderId="0" xfId="0" applyFont="1" applyFill="1" applyBorder="1" applyAlignment="1">
      <alignment horizontal="left" vertical="center" indent="1"/>
    </xf>
    <xf numFmtId="0" fontId="5" fillId="2" borderId="71" xfId="0" applyFont="1" applyFill="1" applyBorder="1" applyAlignment="1">
      <alignment horizontal="left" vertical="center" indent="1"/>
    </xf>
    <xf numFmtId="0" fontId="5" fillId="2" borderId="72" xfId="0" applyFont="1" applyFill="1" applyBorder="1" applyAlignment="1">
      <alignment horizontal="left" vertical="center" indent="1"/>
    </xf>
    <xf numFmtId="0" fontId="5" fillId="2" borderId="73" xfId="0" applyFont="1" applyFill="1" applyBorder="1" applyAlignment="1">
      <alignment horizontal="left" vertical="center" indent="1"/>
    </xf>
    <xf numFmtId="168" fontId="5" fillId="2" borderId="71" xfId="0" applyNumberFormat="1" applyFont="1" applyFill="1" applyBorder="1" applyAlignment="1" applyProtection="1">
      <alignment horizontal="left" vertical="center" wrapText="1" indent="1"/>
      <protection locked="0"/>
    </xf>
    <xf numFmtId="168" fontId="5" fillId="2" borderId="72" xfId="0" applyNumberFormat="1" applyFont="1" applyFill="1" applyBorder="1" applyAlignment="1" applyProtection="1">
      <alignment horizontal="left" vertical="center" wrapText="1" indent="1"/>
      <protection locked="0"/>
    </xf>
    <xf numFmtId="168" fontId="5" fillId="2" borderId="73" xfId="0" applyNumberFormat="1" applyFont="1" applyFill="1" applyBorder="1" applyAlignment="1" applyProtection="1">
      <alignment horizontal="left" vertical="center" wrapText="1" indent="1"/>
      <protection locked="0"/>
    </xf>
    <xf numFmtId="168" fontId="5" fillId="2" borderId="74" xfId="0" applyNumberFormat="1" applyFont="1" applyFill="1" applyBorder="1" applyAlignment="1" applyProtection="1">
      <alignment horizontal="left" vertical="center" wrapText="1" indent="1"/>
      <protection locked="0"/>
    </xf>
    <xf numFmtId="168" fontId="5" fillId="2" borderId="70" xfId="0" applyNumberFormat="1" applyFont="1" applyFill="1" applyBorder="1" applyAlignment="1" applyProtection="1">
      <alignment horizontal="left" vertical="center" wrapText="1" indent="1"/>
      <protection locked="0"/>
    </xf>
    <xf numFmtId="168" fontId="5" fillId="2" borderId="75" xfId="0" applyNumberFormat="1" applyFont="1" applyFill="1" applyBorder="1" applyAlignment="1" applyProtection="1">
      <alignment horizontal="left" vertical="center" wrapText="1" indent="1"/>
      <protection locked="0"/>
    </xf>
    <xf numFmtId="174" fontId="5" fillId="2" borderId="28" xfId="0" applyNumberFormat="1" applyFont="1" applyFill="1" applyBorder="1" applyAlignment="1" applyProtection="1">
      <alignment horizontal="left" vertical="center" indent="1"/>
      <protection locked="0"/>
    </xf>
    <xf numFmtId="174" fontId="5" fillId="2" borderId="83" xfId="0" applyNumberFormat="1" applyFont="1" applyFill="1" applyBorder="1" applyAlignment="1" applyProtection="1">
      <alignment horizontal="left" vertical="center" indent="1"/>
      <protection locked="0"/>
    </xf>
    <xf numFmtId="174" fontId="5" fillId="2" borderId="84" xfId="0" applyNumberFormat="1" applyFont="1" applyFill="1" applyBorder="1" applyAlignment="1" applyProtection="1">
      <alignment horizontal="left" vertical="center" indent="1"/>
      <protection locked="0"/>
    </xf>
    <xf numFmtId="174" fontId="5" fillId="2" borderId="85" xfId="0" applyNumberFormat="1" applyFont="1" applyFill="1" applyBorder="1" applyAlignment="1" applyProtection="1">
      <alignment horizontal="left" vertical="center" indent="1"/>
      <protection locked="0"/>
    </xf>
    <xf numFmtId="174" fontId="5" fillId="2" borderId="86" xfId="0" applyNumberFormat="1" applyFont="1" applyFill="1" applyBorder="1" applyAlignment="1" applyProtection="1">
      <alignment horizontal="left" vertical="center" indent="1"/>
      <protection locked="0"/>
    </xf>
    <xf numFmtId="174" fontId="5" fillId="2" borderId="87" xfId="0" applyNumberFormat="1" applyFont="1" applyFill="1" applyBorder="1" applyAlignment="1" applyProtection="1">
      <alignment horizontal="left" vertical="center" indent="1"/>
      <protection locked="0"/>
    </xf>
    <xf numFmtId="9" fontId="4" fillId="2" borderId="16" xfId="2" applyFont="1" applyFill="1" applyBorder="1" applyAlignment="1">
      <alignment horizontal="center" vertical="center"/>
    </xf>
    <xf numFmtId="9" fontId="4" fillId="2" borderId="14" xfId="2" applyFont="1" applyFill="1" applyBorder="1" applyAlignment="1">
      <alignment horizontal="center" vertical="center"/>
    </xf>
    <xf numFmtId="3" fontId="4" fillId="2" borderId="14" xfId="1" applyNumberFormat="1" applyFont="1" applyFill="1" applyBorder="1" applyAlignment="1">
      <alignment horizontal="center" vertical="center"/>
    </xf>
    <xf numFmtId="3" fontId="4" fillId="2" borderId="15" xfId="1" applyNumberFormat="1" applyFont="1" applyFill="1" applyBorder="1" applyAlignment="1">
      <alignment horizontal="center" vertical="center"/>
    </xf>
    <xf numFmtId="167" fontId="4" fillId="2" borderId="15" xfId="2" applyNumberFormat="1" applyFont="1" applyFill="1" applyBorder="1" applyAlignment="1">
      <alignment horizontal="center" vertical="center"/>
    </xf>
    <xf numFmtId="167" fontId="4" fillId="2" borderId="16" xfId="2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left" vertical="center"/>
    </xf>
    <xf numFmtId="0" fontId="5" fillId="2" borderId="27" xfId="0" applyFont="1" applyFill="1" applyBorder="1" applyAlignment="1">
      <alignment horizontal="left" vertical="center"/>
    </xf>
    <xf numFmtId="9" fontId="4" fillId="2" borderId="14" xfId="2" applyNumberFormat="1" applyFont="1" applyFill="1" applyBorder="1" applyAlignment="1">
      <alignment horizontal="center" vertical="center"/>
    </xf>
    <xf numFmtId="9" fontId="4" fillId="2" borderId="15" xfId="2" applyNumberFormat="1" applyFont="1" applyFill="1" applyBorder="1" applyAlignment="1">
      <alignment horizontal="center" vertical="center"/>
    </xf>
    <xf numFmtId="10" fontId="4" fillId="2" borderId="44" xfId="2" applyNumberFormat="1" applyFont="1" applyFill="1" applyBorder="1" applyAlignment="1">
      <alignment horizontal="center" vertical="center"/>
    </xf>
    <xf numFmtId="10" fontId="4" fillId="2" borderId="45" xfId="2" applyNumberFormat="1" applyFont="1" applyFill="1" applyBorder="1" applyAlignment="1">
      <alignment horizontal="center" vertical="center"/>
    </xf>
    <xf numFmtId="10" fontId="4" fillId="2" borderId="46" xfId="2" applyNumberFormat="1" applyFont="1" applyFill="1" applyBorder="1" applyAlignment="1">
      <alignment horizontal="center" vertical="center"/>
    </xf>
    <xf numFmtId="9" fontId="4" fillId="2" borderId="45" xfId="2" applyNumberFormat="1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left" vertical="center"/>
    </xf>
    <xf numFmtId="9" fontId="0" fillId="0" borderId="0" xfId="2" applyFont="1" applyBorder="1" applyAlignment="1">
      <alignment horizontal="center"/>
    </xf>
    <xf numFmtId="9" fontId="0" fillId="0" borderId="93" xfId="2" applyFont="1" applyBorder="1" applyAlignment="1">
      <alignment horizontal="center"/>
    </xf>
    <xf numFmtId="9" fontId="0" fillId="0" borderId="95" xfId="2" applyFont="1" applyBorder="1" applyAlignment="1">
      <alignment horizontal="center"/>
    </xf>
    <xf numFmtId="9" fontId="0" fillId="0" borderId="96" xfId="2" applyFont="1" applyBorder="1" applyAlignment="1">
      <alignment horizontal="center"/>
    </xf>
    <xf numFmtId="185" fontId="4" fillId="2" borderId="45" xfId="4" applyNumberFormat="1" applyFont="1" applyFill="1" applyBorder="1" applyAlignment="1">
      <alignment horizontal="right" vertical="center"/>
    </xf>
    <xf numFmtId="185" fontId="4" fillId="2" borderId="46" xfId="4" applyNumberFormat="1" applyFont="1" applyFill="1" applyBorder="1" applyAlignment="1">
      <alignment horizontal="right" vertical="center"/>
    </xf>
    <xf numFmtId="0" fontId="21" fillId="0" borderId="0" xfId="3" applyAlignment="1">
      <alignment horizontal="center" vertical="center"/>
    </xf>
    <xf numFmtId="166" fontId="3" fillId="2" borderId="0" xfId="1" applyNumberFormat="1" applyFont="1" applyFill="1" applyBorder="1" applyAlignment="1" applyProtection="1">
      <alignment horizontal="center"/>
      <protection locked="0"/>
    </xf>
    <xf numFmtId="166" fontId="3" fillId="2" borderId="25" xfId="1" applyNumberFormat="1" applyFont="1" applyFill="1" applyBorder="1" applyAlignment="1" applyProtection="1">
      <alignment horizontal="center"/>
      <protection locked="0"/>
    </xf>
    <xf numFmtId="9" fontId="9" fillId="2" borderId="41" xfId="2" applyFont="1" applyFill="1" applyBorder="1" applyAlignment="1" applyProtection="1">
      <alignment horizontal="center"/>
    </xf>
    <xf numFmtId="9" fontId="9" fillId="2" borderId="43" xfId="2" applyFont="1" applyFill="1" applyBorder="1" applyAlignment="1" applyProtection="1">
      <alignment horizontal="center"/>
    </xf>
  </cellXfs>
  <cellStyles count="5">
    <cellStyle name="Hipervínculo" xfId="3" builtinId="8"/>
    <cellStyle name="Millares" xfId="1" builtinId="3"/>
    <cellStyle name="Moneda" xfId="4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strRef>
          <c:f>Portfolio!$M$9</c:f>
          <c:strCache>
            <c:ptCount val="1"/>
            <c:pt idx="0">
              <c:v>Promedio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AR"/>
        </a:p>
      </c:txPr>
    </c:title>
    <c:autoTitleDeleted val="0"/>
    <c:plotArea>
      <c:layout/>
      <c:bubbleChart>
        <c:varyColors val="0"/>
        <c:ser>
          <c:idx val="0"/>
          <c:order val="0"/>
          <c:tx>
            <c:strRef>
              <c:f>Portfolio!$AU$10</c:f>
              <c:strCache>
                <c:ptCount val="1"/>
                <c:pt idx="0">
                  <c:v>Riesgo Bajo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8.3631365948989367E-4"/>
                  <c:y val="0"/>
                </c:manualLayout>
              </c:layout>
              <c:dLblPos val="r"/>
              <c:showLegendKey val="0"/>
              <c:showVal val="1"/>
              <c:showCatName val="1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64-46B7-9A11-D814C1EA65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AR"/>
              </a:p>
            </c:txPr>
            <c:dLblPos val="l"/>
            <c:showLegendKey val="0"/>
            <c:showVal val="1"/>
            <c:showCatName val="1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ash"/>
              </a:ln>
              <a:effectLst/>
            </c:spPr>
            <c:trendlineType val="linear"/>
            <c:dispRSqr val="0"/>
            <c:dispEq val="0"/>
          </c:trendline>
          <c:xVal>
            <c:numRef>
              <c:f>Portfolio!$AZ$10</c:f>
              <c:numCache>
                <c:formatCode>0%</c:formatCode>
                <c:ptCount val="1"/>
                <c:pt idx="0">
                  <c:v>0.68639415533479775</c:v>
                </c:pt>
              </c:numCache>
            </c:numRef>
          </c:xVal>
          <c:yVal>
            <c:numRef>
              <c:f>Portfolio!$BA$10</c:f>
              <c:numCache>
                <c:formatCode>0%</c:formatCode>
                <c:ptCount val="1"/>
                <c:pt idx="0">
                  <c:v>1.8417606935222663E-2</c:v>
                </c:pt>
              </c:numCache>
            </c:numRef>
          </c:yVal>
          <c:bubbleSize>
            <c:numRef>
              <c:f>Portfolio!$AY$10</c:f>
              <c:numCache>
                <c:formatCode>0%</c:formatCode>
                <c:ptCount val="1"/>
                <c:pt idx="0">
                  <c:v>0.94100764074607102</c:v>
                </c:pt>
              </c:numCache>
            </c:numRef>
          </c:bubbleSize>
          <c:bubble3D val="1"/>
          <c:extLst>
            <c:ext xmlns:c16="http://schemas.microsoft.com/office/drawing/2014/chart" uri="{C3380CC4-5D6E-409C-BE32-E72D297353CC}">
              <c16:uniqueId val="{00000002-8164-46B7-9A11-D814C1EA65A0}"/>
            </c:ext>
          </c:extLst>
        </c:ser>
        <c:ser>
          <c:idx val="1"/>
          <c:order val="1"/>
          <c:tx>
            <c:strRef>
              <c:f>Portfolio!$AU$11</c:f>
              <c:strCache>
                <c:ptCount val="1"/>
                <c:pt idx="0">
                  <c:v>Riesgo Medio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9.6676059768918507E-2"/>
                  <c:y val="0.13933981264257167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64-46B7-9A11-D814C1EA65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AR"/>
              </a:p>
            </c:txPr>
            <c:showLegendKey val="0"/>
            <c:showVal val="1"/>
            <c:showCatName val="1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Portfolio!$AZ$11</c:f>
              <c:numCache>
                <c:formatCode>0%</c:formatCode>
                <c:ptCount val="1"/>
                <c:pt idx="0">
                  <c:v>0.1003575588882344</c:v>
                </c:pt>
              </c:numCache>
            </c:numRef>
          </c:xVal>
          <c:yVal>
            <c:numRef>
              <c:f>Portfolio!$BA$11</c:f>
              <c:numCache>
                <c:formatCode>0%</c:formatCode>
                <c:ptCount val="1"/>
                <c:pt idx="0">
                  <c:v>0.1</c:v>
                </c:pt>
              </c:numCache>
            </c:numRef>
          </c:yVal>
          <c:bubbleSize>
            <c:numRef>
              <c:f>Portfolio!$AY$11</c:f>
              <c:numCache>
                <c:formatCode>0%</c:formatCode>
                <c:ptCount val="1"/>
                <c:pt idx="0">
                  <c:v>2.5339781283455837E-2</c:v>
                </c:pt>
              </c:numCache>
            </c:numRef>
          </c:bubbleSize>
          <c:bubble3D val="1"/>
          <c:extLst>
            <c:ext xmlns:c16="http://schemas.microsoft.com/office/drawing/2014/chart" uri="{C3380CC4-5D6E-409C-BE32-E72D297353CC}">
              <c16:uniqueId val="{00000004-8164-46B7-9A11-D814C1EA65A0}"/>
            </c:ext>
          </c:extLst>
        </c:ser>
        <c:ser>
          <c:idx val="2"/>
          <c:order val="2"/>
          <c:tx>
            <c:strRef>
              <c:f>Portfolio!$AU$12</c:f>
              <c:strCache>
                <c:ptCount val="1"/>
                <c:pt idx="0">
                  <c:v>Riesgo Alto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AR"/>
              </a:p>
            </c:txPr>
            <c:showLegendKey val="0"/>
            <c:showVal val="1"/>
            <c:showCatName val="1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Portfolio!$AZ$12</c:f>
              <c:numCache>
                <c:formatCode>0%</c:formatCode>
                <c:ptCount val="1"/>
                <c:pt idx="0">
                  <c:v>0.21324828577696794</c:v>
                </c:pt>
              </c:numCache>
            </c:numRef>
          </c:xVal>
          <c:yVal>
            <c:numRef>
              <c:f>Portfolio!$BA$12</c:f>
              <c:numCache>
                <c:formatCode>0%</c:formatCode>
                <c:ptCount val="1"/>
                <c:pt idx="0">
                  <c:v>0.16</c:v>
                </c:pt>
              </c:numCache>
            </c:numRef>
          </c:yVal>
          <c:bubbleSize>
            <c:numRef>
              <c:f>Portfolio!$AY$12</c:f>
              <c:numCache>
                <c:formatCode>0%</c:formatCode>
                <c:ptCount val="1"/>
                <c:pt idx="0">
                  <c:v>3.3652577970473156E-2</c:v>
                </c:pt>
              </c:numCache>
            </c:numRef>
          </c:bubbleSize>
          <c:bubble3D val="1"/>
          <c:extLst>
            <c:ext xmlns:c16="http://schemas.microsoft.com/office/drawing/2014/chart" uri="{C3380CC4-5D6E-409C-BE32-E72D297353CC}">
              <c16:uniqueId val="{00000005-8164-46B7-9A11-D814C1EA6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128530688"/>
        <c:axId val="128549248"/>
      </c:bubbleChart>
      <c:valAx>
        <c:axId val="128530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AR"/>
                  <a:t>Proporción del Resultado por Producción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s-AR"/>
          </a:p>
        </c:txPr>
        <c:crossAx val="128549248"/>
        <c:crosses val="autoZero"/>
        <c:crossBetween val="midCat"/>
      </c:valAx>
      <c:valAx>
        <c:axId val="12854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Rentabilidad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es-AR"/>
          </a:p>
        </c:txPr>
        <c:crossAx val="1285306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1400">
          <a:solidFill>
            <a:sysClr val="windowText" lastClr="000000"/>
          </a:solidFill>
        </a:defRPr>
      </a:pPr>
      <a:endParaRPr lang="es-AR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247402841928606E-2"/>
          <c:y val="0.16913308678159708"/>
          <c:w val="0.72387853429931404"/>
          <c:h val="0.7750453498063441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Portfolio!$AU$10</c:f>
              <c:strCache>
                <c:ptCount val="1"/>
                <c:pt idx="0">
                  <c:v>Riesgo Bajo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5743-4C15-BF80-87E86CF075D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Portfolio!$AY$10</c:f>
              <c:numCache>
                <c:formatCode>0%</c:formatCode>
                <c:ptCount val="1"/>
                <c:pt idx="0">
                  <c:v>0.94100764074607102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43-4C15-BF80-87E86CF075D3}"/>
            </c:ext>
          </c:extLst>
        </c:ser>
        <c:ser>
          <c:idx val="1"/>
          <c:order val="1"/>
          <c:tx>
            <c:strRef>
              <c:f>Portfolio!$AU$11</c:f>
              <c:strCache>
                <c:ptCount val="1"/>
                <c:pt idx="0">
                  <c:v>Riesgo Medio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Portfolio!$AY$11</c:f>
              <c:numCache>
                <c:formatCode>0%</c:formatCode>
                <c:ptCount val="1"/>
                <c:pt idx="0">
                  <c:v>2.5339781283455837E-2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43-4C15-BF80-87E86CF075D3}"/>
            </c:ext>
          </c:extLst>
        </c:ser>
        <c:ser>
          <c:idx val="2"/>
          <c:order val="2"/>
          <c:tx>
            <c:strRef>
              <c:f>Portfolio!$AU$12</c:f>
              <c:strCache>
                <c:ptCount val="1"/>
                <c:pt idx="0">
                  <c:v>Riesgo Alto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Portfolio!$AY$12</c:f>
              <c:numCache>
                <c:formatCode>0%</c:formatCode>
                <c:ptCount val="1"/>
                <c:pt idx="0">
                  <c:v>3.3652577970473156E-2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43-4C15-BF80-87E86CF07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9"/>
        <c:overlap val="100"/>
        <c:axId val="180091136"/>
        <c:axId val="180089600"/>
      </c:barChart>
      <c:valAx>
        <c:axId val="180089600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80091136"/>
        <c:crosses val="autoZero"/>
        <c:crossBetween val="between"/>
      </c:valAx>
      <c:catAx>
        <c:axId val="180091136"/>
        <c:scaling>
          <c:orientation val="minMax"/>
        </c:scaling>
        <c:delete val="1"/>
        <c:axPos val="l"/>
        <c:majorTickMark val="out"/>
        <c:minorTickMark val="none"/>
        <c:tickLblPos val="nextTo"/>
        <c:crossAx val="1800896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0" workbookViewId="0"/>
  </sheetViews>
  <sheetProtection content="1" objects="1"/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Instructivo!C78"/><Relationship Id="rId2" Type="http://schemas.openxmlformats.org/officeDocument/2006/relationships/hyperlink" Target="#Instructivo!I59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69058</xdr:colOff>
      <xdr:row>1</xdr:row>
      <xdr:rowOff>84790</xdr:rowOff>
    </xdr:from>
    <xdr:ext cx="2228848" cy="485261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59C57D3-2400-40B7-BA60-68341ED2A6B3}"/>
            </a:ext>
          </a:extLst>
        </xdr:cNvPr>
        <xdr:cNvSpPr txBox="1"/>
      </xdr:nvSpPr>
      <xdr:spPr>
        <a:xfrm>
          <a:off x="13480258" y="275290"/>
          <a:ext cx="2228848" cy="4852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pPr algn="ctr"/>
          <a:r>
            <a:rPr lang="es-AR" sz="1100" b="1"/>
            <a:t>Área</a:t>
          </a:r>
          <a:r>
            <a:rPr lang="es-AR" sz="1100" b="1" baseline="0"/>
            <a:t> Empresa (I+D)</a:t>
          </a:r>
        </a:p>
        <a:p>
          <a:pPr algn="ctr"/>
          <a:r>
            <a:rPr lang="es-AR" sz="1000" baseline="0"/>
            <a:t>Mesa Técnica Empresarial</a:t>
          </a:r>
        </a:p>
        <a:p>
          <a:pPr algn="ctr"/>
          <a:r>
            <a:rPr lang="es-AR" sz="1000" baseline="0"/>
            <a:t>Comisión Empresarial</a:t>
          </a:r>
          <a:endParaRPr lang="es-AR" sz="1000"/>
        </a:p>
      </xdr:txBody>
    </xdr:sp>
    <xdr:clientData/>
  </xdr:oneCellAnchor>
  <xdr:twoCellAnchor editAs="oneCell">
    <xdr:from>
      <xdr:col>0</xdr:col>
      <xdr:colOff>666750</xdr:colOff>
      <xdr:row>1</xdr:row>
      <xdr:rowOff>35859</xdr:rowOff>
    </xdr:from>
    <xdr:to>
      <xdr:col>2</xdr:col>
      <xdr:colOff>28576</xdr:colOff>
      <xdr:row>3</xdr:row>
      <xdr:rowOff>143720</xdr:rowOff>
    </xdr:to>
    <xdr:pic>
      <xdr:nvPicPr>
        <xdr:cNvPr id="3" name="Picture 2" descr="C:\Users\dalmazan\Desktop\LOGO CREA con filete.png">
          <a:extLst>
            <a:ext uri="{FF2B5EF4-FFF2-40B4-BE49-F238E27FC236}">
              <a16:creationId xmlns:a16="http://schemas.microsoft.com/office/drawing/2014/main" id="{DD1B7BBF-4518-4B35-894F-F0E99C5F1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226359"/>
          <a:ext cx="885826" cy="6317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257175</xdr:colOff>
      <xdr:row>1</xdr:row>
      <xdr:rowOff>46505</xdr:rowOff>
    </xdr:from>
    <xdr:ext cx="2571748" cy="544045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AD8A342-8317-4DA8-9032-0686D66765BD}"/>
            </a:ext>
          </a:extLst>
        </xdr:cNvPr>
        <xdr:cNvSpPr txBox="1"/>
      </xdr:nvSpPr>
      <xdr:spPr>
        <a:xfrm>
          <a:off x="10163175" y="237005"/>
          <a:ext cx="2571748" cy="544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 anchorCtr="0">
          <a:noAutofit/>
        </a:bodyPr>
        <a:lstStyle/>
        <a:p>
          <a:pPr algn="ctr"/>
          <a:r>
            <a:rPr lang="es-AR" sz="1100" b="1"/>
            <a:t>Área</a:t>
          </a:r>
          <a:r>
            <a:rPr lang="es-AR" sz="1100" b="1" baseline="0"/>
            <a:t> Empresa (I+D)</a:t>
          </a:r>
        </a:p>
        <a:p>
          <a:pPr algn="ctr"/>
          <a:r>
            <a:rPr lang="es-AR" sz="1000" baseline="0"/>
            <a:t>Mesa Técnica Empresarial</a:t>
          </a:r>
        </a:p>
        <a:p>
          <a:pPr algn="ctr"/>
          <a:r>
            <a:rPr lang="es-AR" sz="1000" baseline="0"/>
            <a:t>Comisión Empresarial</a:t>
          </a:r>
          <a:endParaRPr lang="es-AR" sz="1000"/>
        </a:p>
      </xdr:txBody>
    </xdr:sp>
    <xdr:clientData/>
  </xdr:oneCellAnchor>
  <xdr:twoCellAnchor>
    <xdr:from>
      <xdr:col>2</xdr:col>
      <xdr:colOff>533401</xdr:colOff>
      <xdr:row>7</xdr:row>
      <xdr:rowOff>76199</xdr:rowOff>
    </xdr:from>
    <xdr:to>
      <xdr:col>7</xdr:col>
      <xdr:colOff>561001</xdr:colOff>
      <xdr:row>17</xdr:row>
      <xdr:rowOff>85724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D40D1F76-7DCF-4113-9760-384405921E9E}"/>
            </a:ext>
          </a:extLst>
        </xdr:cNvPr>
        <xdr:cNvSpPr txBox="1"/>
      </xdr:nvSpPr>
      <xdr:spPr>
        <a:xfrm>
          <a:off x="2057401" y="1647824"/>
          <a:ext cx="3837600" cy="1914525"/>
        </a:xfrm>
        <a:prstGeom prst="roundRect">
          <a:avLst/>
        </a:prstGeom>
        <a:solidFill>
          <a:schemeClr val="bg2"/>
        </a:solidFill>
        <a:ln w="38100">
          <a:solidFill>
            <a:schemeClr val="bg2">
              <a:lumMod val="75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2000"/>
            <a:t>¿Qué es?</a:t>
          </a:r>
        </a:p>
        <a:p>
          <a:pPr algn="ctr"/>
          <a:r>
            <a:rPr lang="es-AR" sz="1400" b="0"/>
            <a:t>Es una herramienta que permite visualizar el riesgo que asume la empresa para cada actividad, rentabilidad del activo y proporción del activo en distintos escenarios.</a:t>
          </a:r>
        </a:p>
      </xdr:txBody>
    </xdr:sp>
    <xdr:clientData/>
  </xdr:twoCellAnchor>
  <xdr:twoCellAnchor>
    <xdr:from>
      <xdr:col>9</xdr:col>
      <xdr:colOff>400049</xdr:colOff>
      <xdr:row>7</xdr:row>
      <xdr:rowOff>38099</xdr:rowOff>
    </xdr:from>
    <xdr:to>
      <xdr:col>14</xdr:col>
      <xdr:colOff>427649</xdr:colOff>
      <xdr:row>17</xdr:row>
      <xdr:rowOff>142874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6A704EA6-CA59-45E9-9B05-7AF874A5009D}"/>
            </a:ext>
          </a:extLst>
        </xdr:cNvPr>
        <xdr:cNvSpPr txBox="1"/>
      </xdr:nvSpPr>
      <xdr:spPr>
        <a:xfrm>
          <a:off x="7258049" y="1609724"/>
          <a:ext cx="3837600" cy="2009775"/>
        </a:xfrm>
        <a:prstGeom prst="roundRect">
          <a:avLst/>
        </a:prstGeom>
        <a:solidFill>
          <a:schemeClr val="bg2"/>
        </a:solidFill>
        <a:ln w="38100">
          <a:solidFill>
            <a:schemeClr val="bg2">
              <a:lumMod val="75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2000"/>
            <a:t>¿Para qué sirve?</a:t>
          </a:r>
        </a:p>
        <a:p>
          <a:pPr algn="ctr"/>
          <a:r>
            <a:rPr lang="es-AR" sz="1400"/>
            <a:t>Permite detectar la distribución del portfolio de activos de la empresa, determinando el perfil de riesgo de la misma. Pudiendo, a su vez, analizar indicadores económicos y empresariales en distintos escenarios.</a:t>
          </a:r>
        </a:p>
      </xdr:txBody>
    </xdr:sp>
    <xdr:clientData/>
  </xdr:twoCellAnchor>
  <xdr:twoCellAnchor>
    <xdr:from>
      <xdr:col>2</xdr:col>
      <xdr:colOff>533401</xdr:colOff>
      <xdr:row>20</xdr:row>
      <xdr:rowOff>38099</xdr:rowOff>
    </xdr:from>
    <xdr:to>
      <xdr:col>7</xdr:col>
      <xdr:colOff>561001</xdr:colOff>
      <xdr:row>32</xdr:row>
      <xdr:rowOff>85725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F7FCAF92-2E6B-4BFE-8B36-2A76C51D8CBF}"/>
            </a:ext>
          </a:extLst>
        </xdr:cNvPr>
        <xdr:cNvSpPr txBox="1"/>
      </xdr:nvSpPr>
      <xdr:spPr>
        <a:xfrm>
          <a:off x="2057401" y="4086224"/>
          <a:ext cx="3837600" cy="2333626"/>
        </a:xfrm>
        <a:prstGeom prst="roundRect">
          <a:avLst/>
        </a:prstGeom>
        <a:solidFill>
          <a:schemeClr val="bg2"/>
        </a:solidFill>
        <a:ln w="38100">
          <a:solidFill>
            <a:schemeClr val="bg2">
              <a:lumMod val="75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2000"/>
            <a:t>¿Cómo se usa?</a:t>
          </a:r>
        </a:p>
        <a:p>
          <a:pPr algn="ctr"/>
          <a:r>
            <a:rPr lang="es-AR" sz="1400"/>
            <a:t>Para utilizar la herramienta se deberán cargar en la hoja "Portfolio" los activos de la empresa. Cantidad y valor del activo en USD.</a:t>
          </a:r>
        </a:p>
      </xdr:txBody>
    </xdr:sp>
    <xdr:clientData/>
  </xdr:twoCellAnchor>
  <xdr:twoCellAnchor>
    <xdr:from>
      <xdr:col>9</xdr:col>
      <xdr:colOff>400049</xdr:colOff>
      <xdr:row>20</xdr:row>
      <xdr:rowOff>142874</xdr:rowOff>
    </xdr:from>
    <xdr:to>
      <xdr:col>14</xdr:col>
      <xdr:colOff>427649</xdr:colOff>
      <xdr:row>32</xdr:row>
      <xdr:rowOff>152400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BFC6CE99-90E2-4A16-84E3-14ECB46AA7F7}"/>
            </a:ext>
          </a:extLst>
        </xdr:cNvPr>
        <xdr:cNvSpPr txBox="1"/>
      </xdr:nvSpPr>
      <xdr:spPr>
        <a:xfrm>
          <a:off x="7258049" y="4190999"/>
          <a:ext cx="3837600" cy="2295526"/>
        </a:xfrm>
        <a:prstGeom prst="roundRect">
          <a:avLst/>
        </a:prstGeom>
        <a:solidFill>
          <a:schemeClr val="bg2"/>
        </a:solidFill>
        <a:ln w="38100">
          <a:solidFill>
            <a:schemeClr val="bg2">
              <a:lumMod val="75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2000"/>
            <a:t>¿Cúales son los activos?</a:t>
          </a:r>
        </a:p>
        <a:p>
          <a:pPr algn="ctr"/>
          <a:r>
            <a:rPr lang="es-AR" sz="1400"/>
            <a:t>Los</a:t>
          </a:r>
          <a:r>
            <a:rPr lang="es-AR" sz="1400" baseline="0"/>
            <a:t> activos a valorizar son: Inmobiliario, Sementeras, Hacienda, Maquinarias, Gerenciamiento, Otros activos o negocios.</a:t>
          </a:r>
          <a:endParaRPr lang="es-AR" sz="1400"/>
        </a:p>
        <a:p>
          <a:pPr algn="ctr"/>
          <a:endParaRPr lang="es-AR" sz="2000"/>
        </a:p>
      </xdr:txBody>
    </xdr:sp>
    <xdr:clientData/>
  </xdr:twoCellAnchor>
  <xdr:twoCellAnchor>
    <xdr:from>
      <xdr:col>2</xdr:col>
      <xdr:colOff>533401</xdr:colOff>
      <xdr:row>35</xdr:row>
      <xdr:rowOff>38097</xdr:rowOff>
    </xdr:from>
    <xdr:to>
      <xdr:col>7</xdr:col>
      <xdr:colOff>561001</xdr:colOff>
      <xdr:row>53</xdr:row>
      <xdr:rowOff>66674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48A0CCDF-373B-4116-BC3B-4CEB5C26F6F0}"/>
            </a:ext>
          </a:extLst>
        </xdr:cNvPr>
        <xdr:cNvSpPr txBox="1"/>
      </xdr:nvSpPr>
      <xdr:spPr>
        <a:xfrm>
          <a:off x="2057401" y="6943722"/>
          <a:ext cx="3837600" cy="3457577"/>
        </a:xfrm>
        <a:prstGeom prst="roundRect">
          <a:avLst/>
        </a:prstGeom>
        <a:solidFill>
          <a:schemeClr val="bg2"/>
        </a:solidFill>
        <a:ln w="38100">
          <a:solidFill>
            <a:schemeClr val="bg2">
              <a:lumMod val="75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2000"/>
            <a:t>¿Como se interpretan los resultados en la hoja "Riesgo"?</a:t>
          </a:r>
        </a:p>
        <a:p>
          <a:pPr algn="ctr"/>
          <a:r>
            <a:rPr lang="es-AR" sz="1400"/>
            <a:t>En el gráfico de burbujas lo que se muestra la proporción de activos de la empresa,</a:t>
          </a:r>
          <a:r>
            <a:rPr lang="es-AR" sz="1400" baseline="0"/>
            <a:t> divididos</a:t>
          </a:r>
          <a:r>
            <a:rPr lang="es-AR" sz="1400"/>
            <a:t> en 3 burbujas que determinan si el activo es de "Riesgo Bajo" (Burbuja Verde), "Riesgo Medio" (Burbuja Amarilla) y "Riesgo Alto" (Burbuja Roja). En el eje "x" se observa la</a:t>
          </a:r>
          <a:r>
            <a:rPr lang="es-AR" sz="1400" baseline="0"/>
            <a:t> proporción del EBIT y en el eje "y" la Rentabilidad del Activo. Mientras que el tamaño de la burbuja corresponde a la Proporción sobre el Activo Total.</a:t>
          </a:r>
          <a:endParaRPr lang="es-AR" sz="1400"/>
        </a:p>
      </xdr:txBody>
    </xdr:sp>
    <xdr:clientData/>
  </xdr:twoCellAnchor>
  <xdr:twoCellAnchor>
    <xdr:from>
      <xdr:col>9</xdr:col>
      <xdr:colOff>400049</xdr:colOff>
      <xdr:row>35</xdr:row>
      <xdr:rowOff>133348</xdr:rowOff>
    </xdr:from>
    <xdr:to>
      <xdr:col>14</xdr:col>
      <xdr:colOff>427649</xdr:colOff>
      <xdr:row>54</xdr:row>
      <xdr:rowOff>19049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C6088DA4-900E-4B57-AA48-10E06D782202}"/>
            </a:ext>
          </a:extLst>
        </xdr:cNvPr>
        <xdr:cNvSpPr txBox="1"/>
      </xdr:nvSpPr>
      <xdr:spPr>
        <a:xfrm>
          <a:off x="7258049" y="7038973"/>
          <a:ext cx="3837600" cy="3505201"/>
        </a:xfrm>
        <a:prstGeom prst="roundRect">
          <a:avLst/>
        </a:prstGeom>
        <a:solidFill>
          <a:schemeClr val="bg2"/>
        </a:solidFill>
        <a:ln w="38100">
          <a:solidFill>
            <a:schemeClr val="bg2">
              <a:lumMod val="75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2000"/>
            <a:t>¿Como se interpretan los resultados de la hoja "Tablero"?</a:t>
          </a:r>
        </a:p>
        <a:p>
          <a:pPr algn="ctr"/>
          <a:r>
            <a:rPr lang="es-AR" sz="1400"/>
            <a:t>En</a:t>
          </a:r>
          <a:r>
            <a:rPr lang="es-AR" sz="1400" baseline="0"/>
            <a:t> esta hoja se visualiza el Estado de Resultados y Situación Patrimonial a partir de los datos cargados en la hoja "Portfolio".</a:t>
          </a:r>
        </a:p>
        <a:p>
          <a:pPr algn="ctr"/>
          <a:r>
            <a:rPr lang="es-AR" sz="1400" baseline="0"/>
            <a:t>En el caso del Estado de Resultados, se observan distintos escenarios que se distinguen por la Rentabilidad esperada, la Rotación y Costo de Oportunidad.</a:t>
          </a:r>
        </a:p>
        <a:p>
          <a:pPr algn="ctr"/>
          <a:r>
            <a:rPr lang="es-AR" sz="1400" baseline="0"/>
            <a:t>Los escenarios está precargados, pero pueden modificarse en la hoja "Portfolio" celdas AC, AI, AL.</a:t>
          </a:r>
        </a:p>
        <a:p>
          <a:pPr algn="ctr"/>
          <a:endParaRPr lang="es-AR" sz="1400"/>
        </a:p>
      </xdr:txBody>
    </xdr:sp>
    <xdr:clientData/>
  </xdr:twoCellAnchor>
  <xdr:twoCellAnchor>
    <xdr:from>
      <xdr:col>8</xdr:col>
      <xdr:colOff>342900</xdr:colOff>
      <xdr:row>8</xdr:row>
      <xdr:rowOff>85725</xdr:rowOff>
    </xdr:from>
    <xdr:to>
      <xdr:col>8</xdr:col>
      <xdr:colOff>657225</xdr:colOff>
      <xdr:row>16</xdr:row>
      <xdr:rowOff>123825</xdr:rowOff>
    </xdr:to>
    <xdr:sp macro="" textlink="">
      <xdr:nvSpPr>
        <xdr:cNvPr id="6" name="Flecha: hacia abajo 5">
          <a:extLst>
            <a:ext uri="{FF2B5EF4-FFF2-40B4-BE49-F238E27FC236}">
              <a16:creationId xmlns:a16="http://schemas.microsoft.com/office/drawing/2014/main" id="{40FC25A9-29A8-4D41-9924-21D94A615547}"/>
            </a:ext>
          </a:extLst>
        </xdr:cNvPr>
        <xdr:cNvSpPr/>
      </xdr:nvSpPr>
      <xdr:spPr>
        <a:xfrm>
          <a:off x="6438900" y="1847850"/>
          <a:ext cx="314325" cy="1562100"/>
        </a:xfrm>
        <a:prstGeom prst="downArrow">
          <a:avLst/>
        </a:prstGeom>
        <a:solidFill>
          <a:schemeClr val="bg2"/>
        </a:solidFill>
        <a:ln>
          <a:solidFill>
            <a:schemeClr val="bg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352425</xdr:colOff>
      <xdr:row>20</xdr:row>
      <xdr:rowOff>152399</xdr:rowOff>
    </xdr:from>
    <xdr:to>
      <xdr:col>8</xdr:col>
      <xdr:colOff>666750</xdr:colOff>
      <xdr:row>32</xdr:row>
      <xdr:rowOff>28574</xdr:rowOff>
    </xdr:to>
    <xdr:sp macro="" textlink="">
      <xdr:nvSpPr>
        <xdr:cNvPr id="14" name="Flecha: hacia abajo 13">
          <a:extLst>
            <a:ext uri="{FF2B5EF4-FFF2-40B4-BE49-F238E27FC236}">
              <a16:creationId xmlns:a16="http://schemas.microsoft.com/office/drawing/2014/main" id="{7AAEEE37-8056-4A82-A282-E4F4213F5D54}"/>
            </a:ext>
          </a:extLst>
        </xdr:cNvPr>
        <xdr:cNvSpPr/>
      </xdr:nvSpPr>
      <xdr:spPr>
        <a:xfrm>
          <a:off x="6448425" y="4200524"/>
          <a:ext cx="314325" cy="2162175"/>
        </a:xfrm>
        <a:prstGeom prst="downArrow">
          <a:avLst/>
        </a:prstGeom>
        <a:solidFill>
          <a:schemeClr val="bg2"/>
        </a:solidFill>
        <a:ln>
          <a:solidFill>
            <a:schemeClr val="bg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352425</xdr:colOff>
      <xdr:row>36</xdr:row>
      <xdr:rowOff>38099</xdr:rowOff>
    </xdr:from>
    <xdr:to>
      <xdr:col>8</xdr:col>
      <xdr:colOff>666750</xdr:colOff>
      <xdr:row>53</xdr:row>
      <xdr:rowOff>66675</xdr:rowOff>
    </xdr:to>
    <xdr:sp macro="" textlink="">
      <xdr:nvSpPr>
        <xdr:cNvPr id="15" name="Flecha: hacia abajo 14">
          <a:extLst>
            <a:ext uri="{FF2B5EF4-FFF2-40B4-BE49-F238E27FC236}">
              <a16:creationId xmlns:a16="http://schemas.microsoft.com/office/drawing/2014/main" id="{455D4F00-CF63-4443-85CB-2DEFAFAA55B9}"/>
            </a:ext>
          </a:extLst>
        </xdr:cNvPr>
        <xdr:cNvSpPr/>
      </xdr:nvSpPr>
      <xdr:spPr>
        <a:xfrm>
          <a:off x="6448425" y="7134224"/>
          <a:ext cx="314325" cy="3267076"/>
        </a:xfrm>
        <a:prstGeom prst="downArrow">
          <a:avLst/>
        </a:prstGeom>
        <a:solidFill>
          <a:schemeClr val="bg2"/>
        </a:solidFill>
        <a:ln>
          <a:solidFill>
            <a:schemeClr val="bg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6</xdr:col>
      <xdr:colOff>390525</xdr:colOff>
      <xdr:row>58</xdr:row>
      <xdr:rowOff>1</xdr:rowOff>
    </xdr:from>
    <xdr:to>
      <xdr:col>10</xdr:col>
      <xdr:colOff>514350</xdr:colOff>
      <xdr:row>60</xdr:row>
      <xdr:rowOff>38101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A6FADA26-17FD-4A69-80EA-463EB7DDD046}"/>
            </a:ext>
          </a:extLst>
        </xdr:cNvPr>
        <xdr:cNvSpPr txBox="1"/>
      </xdr:nvSpPr>
      <xdr:spPr>
        <a:xfrm>
          <a:off x="4962525" y="11287126"/>
          <a:ext cx="3171825" cy="419100"/>
        </a:xfrm>
        <a:prstGeom prst="roundRect">
          <a:avLst/>
        </a:prstGeom>
        <a:solidFill>
          <a:schemeClr val="accent1">
            <a:lumMod val="75000"/>
          </a:schemeClr>
        </a:solidFill>
        <a:ln w="38100">
          <a:solidFill>
            <a:schemeClr val="bg2">
              <a:lumMod val="75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2000">
              <a:solidFill>
                <a:schemeClr val="bg1"/>
              </a:solidFill>
            </a:rPr>
            <a:t>ASISTENTE DE CARGA</a:t>
          </a:r>
        </a:p>
      </xdr:txBody>
    </xdr:sp>
    <xdr:clientData/>
  </xdr:twoCellAnchor>
  <xdr:twoCellAnchor>
    <xdr:from>
      <xdr:col>0</xdr:col>
      <xdr:colOff>152400</xdr:colOff>
      <xdr:row>7</xdr:row>
      <xdr:rowOff>85724</xdr:rowOff>
    </xdr:from>
    <xdr:to>
      <xdr:col>1</xdr:col>
      <xdr:colOff>590549</xdr:colOff>
      <xdr:row>11</xdr:row>
      <xdr:rowOff>114299</xdr:rowOff>
    </xdr:to>
    <xdr:sp macro="" textlink="">
      <xdr:nvSpPr>
        <xdr:cNvPr id="17" name="CuadroText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405613-1B2D-46E6-B0F9-A0E0FA236802}"/>
            </a:ext>
          </a:extLst>
        </xdr:cNvPr>
        <xdr:cNvSpPr txBox="1"/>
      </xdr:nvSpPr>
      <xdr:spPr>
        <a:xfrm>
          <a:off x="152400" y="1657349"/>
          <a:ext cx="1200149" cy="790575"/>
        </a:xfrm>
        <a:prstGeom prst="roundRect">
          <a:avLst/>
        </a:prstGeom>
        <a:solidFill>
          <a:schemeClr val="accent1">
            <a:lumMod val="75000"/>
          </a:schemeClr>
        </a:solidFill>
        <a:ln w="38100">
          <a:solidFill>
            <a:schemeClr val="bg2">
              <a:lumMod val="75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1200">
              <a:solidFill>
                <a:schemeClr val="bg1"/>
              </a:solidFill>
            </a:rPr>
            <a:t>ASISTENTE</a:t>
          </a:r>
          <a:r>
            <a:rPr lang="es-AR" sz="1200" baseline="0">
              <a:solidFill>
                <a:schemeClr val="bg1"/>
              </a:solidFill>
            </a:rPr>
            <a:t> DE CARGA</a:t>
          </a:r>
        </a:p>
        <a:p>
          <a:pPr algn="ctr"/>
          <a:r>
            <a:rPr lang="es-AR" sz="1200" b="1" u="sng" baseline="0">
              <a:solidFill>
                <a:schemeClr val="bg1"/>
              </a:solidFill>
            </a:rPr>
            <a:t>IR</a:t>
          </a:r>
          <a:endParaRPr lang="es-AR" sz="1200" b="1" u="sng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723900</xdr:colOff>
      <xdr:row>76</xdr:row>
      <xdr:rowOff>171451</xdr:rowOff>
    </xdr:from>
    <xdr:to>
      <xdr:col>6</xdr:col>
      <xdr:colOff>85725</xdr:colOff>
      <xdr:row>79</xdr:row>
      <xdr:rowOff>19051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DDB69CEF-B6B0-4F57-9B34-2CF618E49AAE}"/>
            </a:ext>
          </a:extLst>
        </xdr:cNvPr>
        <xdr:cNvSpPr txBox="1"/>
      </xdr:nvSpPr>
      <xdr:spPr>
        <a:xfrm>
          <a:off x="1485900" y="14887576"/>
          <a:ext cx="3171825" cy="419100"/>
        </a:xfrm>
        <a:prstGeom prst="roundRect">
          <a:avLst/>
        </a:prstGeom>
        <a:solidFill>
          <a:schemeClr val="accent1">
            <a:lumMod val="75000"/>
          </a:schemeClr>
        </a:solidFill>
        <a:ln w="38100">
          <a:solidFill>
            <a:schemeClr val="bg2">
              <a:lumMod val="75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2000">
              <a:solidFill>
                <a:schemeClr val="bg1"/>
              </a:solidFill>
            </a:rPr>
            <a:t>EXPECTATIVAS</a:t>
          </a:r>
          <a:r>
            <a:rPr lang="es-AR" sz="2000" baseline="0">
              <a:solidFill>
                <a:schemeClr val="bg1"/>
              </a:solidFill>
            </a:rPr>
            <a:t> DE RENTA</a:t>
          </a:r>
          <a:endParaRPr lang="es-AR" sz="20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95250</xdr:colOff>
      <xdr:row>13</xdr:row>
      <xdr:rowOff>85726</xdr:rowOff>
    </xdr:from>
    <xdr:to>
      <xdr:col>1</xdr:col>
      <xdr:colOff>600075</xdr:colOff>
      <xdr:row>18</xdr:row>
      <xdr:rowOff>0</xdr:rowOff>
    </xdr:to>
    <xdr:sp macro="" textlink="">
      <xdr:nvSpPr>
        <xdr:cNvPr id="19" name="CuadroTexto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3B86051-4867-4C84-BFB2-CEC652D2ED97}"/>
            </a:ext>
          </a:extLst>
        </xdr:cNvPr>
        <xdr:cNvSpPr txBox="1"/>
      </xdr:nvSpPr>
      <xdr:spPr>
        <a:xfrm>
          <a:off x="95250" y="2800351"/>
          <a:ext cx="1266825" cy="866774"/>
        </a:xfrm>
        <a:prstGeom prst="roundRect">
          <a:avLst/>
        </a:prstGeom>
        <a:solidFill>
          <a:schemeClr val="accent1">
            <a:lumMod val="75000"/>
          </a:schemeClr>
        </a:solidFill>
        <a:ln w="38100">
          <a:solidFill>
            <a:schemeClr val="bg2">
              <a:lumMod val="75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AR" sz="1200">
              <a:solidFill>
                <a:schemeClr val="bg1"/>
              </a:solidFill>
            </a:rPr>
            <a:t>EXPECTATIVAS</a:t>
          </a:r>
          <a:r>
            <a:rPr lang="es-AR" sz="1200" baseline="0">
              <a:solidFill>
                <a:schemeClr val="bg1"/>
              </a:solidFill>
            </a:rPr>
            <a:t> DE RENTA</a:t>
          </a:r>
        </a:p>
        <a:p>
          <a:pPr algn="ctr"/>
          <a:r>
            <a:rPr lang="es-AR" sz="1200" b="1" u="sng" baseline="0">
              <a:solidFill>
                <a:schemeClr val="bg1"/>
              </a:solidFill>
            </a:rPr>
            <a:t>IR</a:t>
          </a:r>
          <a:endParaRPr lang="es-AR" sz="1200" b="1" u="sng">
            <a:solidFill>
              <a:schemeClr val="bg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9526</xdr:colOff>
      <xdr:row>1</xdr:row>
      <xdr:rowOff>108603</xdr:rowOff>
    </xdr:from>
    <xdr:ext cx="2228848" cy="485261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4175339E-9F55-4148-B4F4-8E8DB61DFF37}"/>
            </a:ext>
          </a:extLst>
        </xdr:cNvPr>
        <xdr:cNvSpPr txBox="1"/>
      </xdr:nvSpPr>
      <xdr:spPr>
        <a:xfrm>
          <a:off x="16964026" y="299103"/>
          <a:ext cx="2228848" cy="4852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pPr algn="ctr"/>
          <a:r>
            <a:rPr lang="es-AR" sz="1100" b="1"/>
            <a:t>Área</a:t>
          </a:r>
          <a:r>
            <a:rPr lang="es-AR" sz="1100" b="1" baseline="0"/>
            <a:t> Empresa (I+D)</a:t>
          </a:r>
        </a:p>
        <a:p>
          <a:pPr algn="ctr"/>
          <a:r>
            <a:rPr lang="es-AR" sz="1000" baseline="0"/>
            <a:t>Mesa Técnica Empresarial</a:t>
          </a:r>
        </a:p>
        <a:p>
          <a:pPr algn="ctr"/>
          <a:r>
            <a:rPr lang="es-AR" sz="1000" baseline="0"/>
            <a:t>Comisión Empresarial</a:t>
          </a:r>
          <a:endParaRPr lang="es-AR" sz="1000"/>
        </a:p>
      </xdr:txBody>
    </xdr:sp>
    <xdr:clientData/>
  </xdr:oneCellAnchor>
  <xdr:twoCellAnchor editAs="oneCell">
    <xdr:from>
      <xdr:col>4</xdr:col>
      <xdr:colOff>229298</xdr:colOff>
      <xdr:row>1</xdr:row>
      <xdr:rowOff>16808</xdr:rowOff>
    </xdr:from>
    <xdr:to>
      <xdr:col>5</xdr:col>
      <xdr:colOff>464344</xdr:colOff>
      <xdr:row>3</xdr:row>
      <xdr:rowOff>172493</xdr:rowOff>
    </xdr:to>
    <xdr:pic>
      <xdr:nvPicPr>
        <xdr:cNvPr id="4" name="Picture 2" descr="C:\Users\dalmazan\Desktop\LOGO CREA con filete.png">
          <a:extLst>
            <a:ext uri="{FF2B5EF4-FFF2-40B4-BE49-F238E27FC236}">
              <a16:creationId xmlns:a16="http://schemas.microsoft.com/office/drawing/2014/main" id="{2966D9DF-378A-4C7F-81C9-7C3D799AF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5017" y="207308"/>
          <a:ext cx="794640" cy="67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1875" cy="625475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0.76338</cdr:x>
      <cdr:y>0.03301</cdr:y>
    </cdr:from>
    <cdr:to>
      <cdr:x>0.98169</cdr:x>
      <cdr:y>0.13786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618653" y="207596"/>
          <a:ext cx="1892789" cy="65942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AR" sz="1100">
              <a:solidFill>
                <a:sysClr val="windowText" lastClr="000000"/>
              </a:solidFill>
            </a:rPr>
            <a:t>Proporción</a:t>
          </a:r>
          <a:r>
            <a:rPr lang="es-AR" sz="1100" baseline="0">
              <a:solidFill>
                <a:sysClr val="windowText" lastClr="000000"/>
              </a:solidFill>
            </a:rPr>
            <a:t> del Resultado</a:t>
          </a:r>
        </a:p>
        <a:p xmlns:a="http://schemas.openxmlformats.org/drawingml/2006/main">
          <a:r>
            <a:rPr lang="es-AR" sz="1100" baseline="0">
              <a:solidFill>
                <a:sysClr val="windowText" lastClr="000000"/>
              </a:solidFill>
            </a:rPr>
            <a:t>Rentabilidad del Activo.</a:t>
          </a:r>
        </a:p>
        <a:p xmlns:a="http://schemas.openxmlformats.org/drawingml/2006/main">
          <a:r>
            <a:rPr lang="es-AR" sz="1100" baseline="0">
              <a:solidFill>
                <a:sysClr val="windowText" lastClr="000000"/>
              </a:solidFill>
            </a:rPr>
            <a:t>Proporción del Activo.</a:t>
          </a:r>
          <a:endParaRPr lang="es-AR" sz="1100">
            <a:solidFill>
              <a:sysClr val="windowText" lastClr="000000"/>
            </a:solidFill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21166</xdr:colOff>
      <xdr:row>75</xdr:row>
      <xdr:rowOff>63501</xdr:rowOff>
    </xdr:from>
    <xdr:to>
      <xdr:col>15</xdr:col>
      <xdr:colOff>10583</xdr:colOff>
      <xdr:row>81</xdr:row>
      <xdr:rowOff>95251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19</xdr:col>
      <xdr:colOff>69058</xdr:colOff>
      <xdr:row>1</xdr:row>
      <xdr:rowOff>84790</xdr:rowOff>
    </xdr:from>
    <xdr:ext cx="2228848" cy="485261"/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AB43AE75-23F1-408A-AD43-B061B91CDBD4}"/>
            </a:ext>
          </a:extLst>
        </xdr:cNvPr>
        <xdr:cNvSpPr txBox="1"/>
      </xdr:nvSpPr>
      <xdr:spPr>
        <a:xfrm>
          <a:off x="13727908" y="275290"/>
          <a:ext cx="2228848" cy="4852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 anchorCtr="0">
          <a:spAutoFit/>
        </a:bodyPr>
        <a:lstStyle/>
        <a:p>
          <a:pPr algn="ctr"/>
          <a:r>
            <a:rPr lang="es-AR" sz="1100" b="1"/>
            <a:t>Área</a:t>
          </a:r>
          <a:r>
            <a:rPr lang="es-AR" sz="1100" b="1" baseline="0"/>
            <a:t> Empresa (I+D)</a:t>
          </a:r>
        </a:p>
        <a:p>
          <a:pPr algn="ctr"/>
          <a:r>
            <a:rPr lang="es-AR" sz="1000" baseline="0"/>
            <a:t>Mesa Técnica Empresarial</a:t>
          </a:r>
        </a:p>
        <a:p>
          <a:pPr algn="ctr"/>
          <a:r>
            <a:rPr lang="es-AR" sz="1000" baseline="0"/>
            <a:t>Comisión Empresarial</a:t>
          </a:r>
          <a:endParaRPr lang="es-AR" sz="1000"/>
        </a:p>
      </xdr:txBody>
    </xdr:sp>
    <xdr:clientData/>
  </xdr:oneCellAnchor>
  <xdr:twoCellAnchor editAs="oneCell">
    <xdr:from>
      <xdr:col>4</xdr:col>
      <xdr:colOff>137583</xdr:colOff>
      <xdr:row>1</xdr:row>
      <xdr:rowOff>21167</xdr:rowOff>
    </xdr:from>
    <xdr:to>
      <xdr:col>4</xdr:col>
      <xdr:colOff>932223</xdr:colOff>
      <xdr:row>3</xdr:row>
      <xdr:rowOff>171560</xdr:rowOff>
    </xdr:to>
    <xdr:pic>
      <xdr:nvPicPr>
        <xdr:cNvPr id="12" name="Picture 2" descr="C:\Users\dalmazan\Desktop\LOGO CREA con filete.png">
          <a:extLst>
            <a:ext uri="{FF2B5EF4-FFF2-40B4-BE49-F238E27FC236}">
              <a16:creationId xmlns:a16="http://schemas.microsoft.com/office/drawing/2014/main" id="{6920D87A-E2F4-4C0C-8E6E-D79C2C5B2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333" y="211667"/>
          <a:ext cx="794640" cy="679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ECBF6-364F-4369-9F16-588BF42AA074}">
  <dimension ref="C1:J84"/>
  <sheetViews>
    <sheetView showGridLines="0" showRowColHeaders="0" tabSelected="1" zoomScaleNormal="100" workbookViewId="0">
      <selection activeCell="H59" sqref="H59"/>
    </sheetView>
  </sheetViews>
  <sheetFormatPr baseColWidth="10" defaultRowHeight="15" x14ac:dyDescent="0.25"/>
  <sheetData>
    <row r="1" spans="3:7" s="5" customFormat="1" x14ac:dyDescent="0.25"/>
    <row r="2" spans="3:7" s="5" customFormat="1" x14ac:dyDescent="0.25">
      <c r="C2" s="16"/>
    </row>
    <row r="3" spans="3:7" s="5" customFormat="1" ht="26.25" x14ac:dyDescent="0.4">
      <c r="C3" s="16"/>
      <c r="G3" s="22" t="s">
        <v>84</v>
      </c>
    </row>
    <row r="4" spans="3:7" s="5" customFormat="1" ht="21" x14ac:dyDescent="0.35">
      <c r="C4" s="16"/>
      <c r="G4" s="17"/>
    </row>
    <row r="5" spans="3:7" s="18" customFormat="1" ht="15.75" thickBot="1" x14ac:dyDescent="0.3">
      <c r="C5" s="19"/>
    </row>
    <row r="6" spans="3:7" ht="15.75" thickTop="1" x14ac:dyDescent="0.25"/>
    <row r="48" spans="3:5" x14ac:dyDescent="0.25">
      <c r="C48">
        <v>1</v>
      </c>
      <c r="E48" t="s">
        <v>89</v>
      </c>
    </row>
    <row r="49" spans="3:10" x14ac:dyDescent="0.25">
      <c r="C49">
        <v>2</v>
      </c>
    </row>
    <row r="62" spans="3:10" x14ac:dyDescent="0.25">
      <c r="G62" s="224" t="s">
        <v>113</v>
      </c>
      <c r="H62" s="1">
        <v>1</v>
      </c>
      <c r="I62" s="221" t="s">
        <v>114</v>
      </c>
      <c r="J62" s="221"/>
    </row>
    <row r="63" spans="3:10" x14ac:dyDescent="0.25">
      <c r="G63" s="224" t="s">
        <v>113</v>
      </c>
      <c r="H63" s="1">
        <v>2</v>
      </c>
      <c r="I63" t="s">
        <v>115</v>
      </c>
    </row>
    <row r="64" spans="3:10" x14ac:dyDescent="0.25">
      <c r="G64" s="224" t="s">
        <v>113</v>
      </c>
      <c r="H64" s="1">
        <v>3</v>
      </c>
      <c r="I64" t="s">
        <v>116</v>
      </c>
    </row>
    <row r="65" spans="3:9" x14ac:dyDescent="0.25">
      <c r="G65" s="224" t="s">
        <v>113</v>
      </c>
      <c r="H65" s="1">
        <v>4</v>
      </c>
      <c r="I65" t="s">
        <v>117</v>
      </c>
    </row>
    <row r="66" spans="3:9" x14ac:dyDescent="0.25">
      <c r="G66" s="224" t="s">
        <v>113</v>
      </c>
      <c r="H66" s="1">
        <v>5</v>
      </c>
      <c r="I66" t="s">
        <v>118</v>
      </c>
    </row>
    <row r="67" spans="3:9" x14ac:dyDescent="0.25">
      <c r="G67" s="224" t="s">
        <v>113</v>
      </c>
      <c r="H67" s="1">
        <v>6</v>
      </c>
      <c r="I67" t="s">
        <v>119</v>
      </c>
    </row>
    <row r="68" spans="3:9" x14ac:dyDescent="0.25">
      <c r="G68" s="224" t="s">
        <v>113</v>
      </c>
      <c r="H68" s="1">
        <v>7</v>
      </c>
      <c r="I68" t="s">
        <v>120</v>
      </c>
    </row>
    <row r="69" spans="3:9" x14ac:dyDescent="0.25">
      <c r="G69" s="224" t="s">
        <v>113</v>
      </c>
      <c r="H69" s="1">
        <v>8</v>
      </c>
      <c r="I69" t="s">
        <v>124</v>
      </c>
    </row>
    <row r="70" spans="3:9" x14ac:dyDescent="0.25">
      <c r="G70" s="224" t="s">
        <v>113</v>
      </c>
      <c r="H70" s="1">
        <v>9</v>
      </c>
      <c r="I70" t="s">
        <v>125</v>
      </c>
    </row>
    <row r="71" spans="3:9" x14ac:dyDescent="0.25">
      <c r="G71" s="224" t="s">
        <v>113</v>
      </c>
      <c r="H71" s="1">
        <v>10</v>
      </c>
      <c r="I71" t="s">
        <v>123</v>
      </c>
    </row>
    <row r="72" spans="3:9" x14ac:dyDescent="0.25">
      <c r="G72" s="224" t="s">
        <v>113</v>
      </c>
      <c r="H72" s="1">
        <v>11</v>
      </c>
      <c r="I72" t="s">
        <v>121</v>
      </c>
    </row>
    <row r="80" spans="3:9" x14ac:dyDescent="0.25">
      <c r="C80" t="s">
        <v>133</v>
      </c>
    </row>
    <row r="81" spans="3:8" ht="15.75" thickBot="1" x14ac:dyDescent="0.3"/>
    <row r="82" spans="3:8" x14ac:dyDescent="0.25">
      <c r="C82" s="233" t="s">
        <v>128</v>
      </c>
      <c r="D82" s="234"/>
      <c r="E82" s="238"/>
      <c r="F82" s="239"/>
      <c r="H82" t="s">
        <v>130</v>
      </c>
    </row>
    <row r="83" spans="3:8" x14ac:dyDescent="0.25">
      <c r="C83" s="235" t="s">
        <v>70</v>
      </c>
      <c r="D83" s="232"/>
      <c r="E83" s="350"/>
      <c r="F83" s="351"/>
      <c r="H83" t="s">
        <v>131</v>
      </c>
    </row>
    <row r="84" spans="3:8" ht="15.75" thickBot="1" x14ac:dyDescent="0.3">
      <c r="C84" s="236" t="s">
        <v>129</v>
      </c>
      <c r="D84" s="237"/>
      <c r="E84" s="352"/>
      <c r="F84" s="353"/>
      <c r="H84" t="s">
        <v>132</v>
      </c>
    </row>
  </sheetData>
  <sheetProtection sheet="1" objects="1" scenarios="1"/>
  <mergeCells count="3">
    <mergeCell ref="E82:F82"/>
    <mergeCell ref="E83:F83"/>
    <mergeCell ref="E84:F84"/>
  </mergeCells>
  <hyperlinks>
    <hyperlink ref="G62" location="Portfolio!D7" display="IR" xr:uid="{5B39AE32-7D90-4712-88D0-30C0A7715C5F}"/>
    <hyperlink ref="G63" location="Portfolio!E7" display="IR" xr:uid="{6EAD00FF-D4A2-484A-90B2-F6B66FCEC1C6}"/>
    <hyperlink ref="G64" location="Portfolio!F7" display="IR" xr:uid="{FC2127DE-C114-42D4-A707-A370BFB767D4}"/>
    <hyperlink ref="G65" location="Portfolio!G7" display="IR" xr:uid="{63597EBB-BCCC-40E2-87C8-7BD4DB31D13A}"/>
    <hyperlink ref="G66" location="Portfolio!H7" display="IR" xr:uid="{61B7D7F5-657B-412F-A838-B1D9B879E506}"/>
    <hyperlink ref="G67" location="Portfolio!I7" display="IR" xr:uid="{A0D1259E-02B1-4F23-806C-2E41D86A93E2}"/>
    <hyperlink ref="G68" location="Portfolio!M7" display="IR" xr:uid="{86003304-DB5D-4CC7-B902-DBD677894EC8}"/>
    <hyperlink ref="G69" location="Portfolio!X7" display="IR" xr:uid="{3BDF7065-3F47-4B85-AB6E-AA688D8A1CC5}"/>
    <hyperlink ref="G72" location="Portfolio!AT7" display="IR" xr:uid="{D28FE77B-1517-4208-AB24-EC37F86A8586}"/>
    <hyperlink ref="G70:G71" location="Portfolio!AT7" display="IR" xr:uid="{2F58E4C5-1221-4902-B5F0-A114F66DA8DC}"/>
    <hyperlink ref="G70" location="Portfolio!AD7" display="IR" xr:uid="{EC28BBD5-215C-4A30-8991-1825A443025F}"/>
    <hyperlink ref="G71" location="Portfolio!AJ7" display="IR" xr:uid="{DE10552C-39AC-4A13-8782-1B01DECD2988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A58"/>
  <sheetViews>
    <sheetView showGridLines="0" zoomScale="80" zoomScaleNormal="80" workbookViewId="0">
      <selection activeCell="B6" sqref="B6"/>
    </sheetView>
  </sheetViews>
  <sheetFormatPr baseColWidth="10" defaultRowHeight="15" zeroHeight="1" outlineLevelCol="1" x14ac:dyDescent="0.25"/>
  <cols>
    <col min="1" max="1" width="1.7109375" customWidth="1"/>
    <col min="2" max="2" width="24.28515625" customWidth="1"/>
    <col min="3" max="3" width="4.140625" customWidth="1"/>
    <col min="4" max="4" width="27.5703125" customWidth="1"/>
    <col min="5" max="5" width="8.42578125" style="1" customWidth="1"/>
    <col min="6" max="6" width="13.28515625" customWidth="1"/>
    <col min="7" max="7" width="11.5703125" customWidth="1"/>
    <col min="8" max="8" width="13.85546875" bestFit="1" customWidth="1"/>
    <col min="9" max="9" width="3.140625" customWidth="1"/>
    <col min="10" max="10" width="11.5703125" customWidth="1"/>
    <col min="11" max="11" width="13.28515625" style="5" customWidth="1"/>
    <col min="12" max="12" width="8.28515625" style="5" customWidth="1"/>
    <col min="13" max="13" width="10" style="5" bestFit="1" customWidth="1"/>
    <col min="14" max="14" width="13.5703125" style="5" hidden="1" customWidth="1"/>
    <col min="15" max="16" width="7.85546875" style="5" hidden="1" customWidth="1"/>
    <col min="17" max="17" width="13" style="5" hidden="1" customWidth="1"/>
    <col min="18" max="18" width="7.7109375" style="5" hidden="1" customWidth="1"/>
    <col min="19" max="19" width="8.42578125" style="5" hidden="1" customWidth="1"/>
    <col min="20" max="20" width="11.85546875" style="5" hidden="1" customWidth="1"/>
    <col min="21" max="21" width="10.140625" style="5" hidden="1" customWidth="1"/>
    <col min="22" max="23" width="11.42578125" style="5"/>
    <col min="24" max="28" width="12.140625" style="61" hidden="1" customWidth="1" outlineLevel="1"/>
    <col min="29" max="29" width="4" style="5" customWidth="1" collapsed="1"/>
    <col min="30" max="34" width="11.42578125" style="5" hidden="1" customWidth="1" outlineLevel="1"/>
    <col min="35" max="35" width="3.85546875" style="5" customWidth="1" collapsed="1"/>
    <col min="36" max="37" width="10.85546875" style="5" customWidth="1"/>
    <col min="38" max="43" width="10.85546875" style="5" hidden="1" customWidth="1"/>
    <col min="44" max="45" width="10.85546875" customWidth="1"/>
    <col min="47" max="47" width="14.5703125" bestFit="1" customWidth="1"/>
    <col min="49" max="49" width="13.5703125" bestFit="1" customWidth="1"/>
    <col min="50" max="50" width="12" bestFit="1" customWidth="1"/>
  </cols>
  <sheetData>
    <row r="1" spans="2:53" s="5" customFormat="1" x14ac:dyDescent="0.25"/>
    <row r="2" spans="2:53" s="5" customFormat="1" x14ac:dyDescent="0.25">
      <c r="C2" s="16"/>
    </row>
    <row r="3" spans="2:53" s="5" customFormat="1" ht="26.25" x14ac:dyDescent="0.4">
      <c r="C3" s="16"/>
      <c r="G3" s="20" t="s">
        <v>84</v>
      </c>
    </row>
    <row r="4" spans="2:53" s="5" customFormat="1" ht="21" x14ac:dyDescent="0.35">
      <c r="C4" s="16"/>
      <c r="G4" s="17"/>
    </row>
    <row r="5" spans="2:53" s="18" customFormat="1" ht="15.75" thickBot="1" x14ac:dyDescent="0.3">
      <c r="C5" s="19"/>
    </row>
    <row r="6" spans="2:53" ht="26.25" customHeight="1" thickTop="1" x14ac:dyDescent="0.25">
      <c r="B6" s="356" t="s">
        <v>134</v>
      </c>
    </row>
    <row r="7" spans="2:53" ht="26.25" customHeight="1" x14ac:dyDescent="0.25">
      <c r="D7" s="222">
        <v>1</v>
      </c>
      <c r="E7" s="222">
        <v>2</v>
      </c>
      <c r="F7" s="222">
        <v>3</v>
      </c>
      <c r="G7" s="222">
        <v>4</v>
      </c>
      <c r="H7" s="222">
        <v>5</v>
      </c>
      <c r="I7" s="222">
        <v>6</v>
      </c>
      <c r="J7" s="222"/>
      <c r="K7" s="223"/>
      <c r="L7" s="223"/>
      <c r="M7" s="223">
        <v>7</v>
      </c>
      <c r="X7" s="223">
        <v>8</v>
      </c>
      <c r="AD7" s="223">
        <v>9</v>
      </c>
      <c r="AJ7" s="223">
        <v>10</v>
      </c>
      <c r="AT7" s="223">
        <v>11</v>
      </c>
      <c r="AU7" s="225" t="s">
        <v>97</v>
      </c>
      <c r="AY7" s="263" t="s">
        <v>122</v>
      </c>
      <c r="AZ7" s="263"/>
      <c r="BA7" s="263"/>
    </row>
    <row r="8" spans="2:53" ht="15" customHeight="1" x14ac:dyDescent="0.25">
      <c r="B8" s="276" t="s">
        <v>10</v>
      </c>
      <c r="C8" s="277"/>
      <c r="D8" s="277"/>
      <c r="E8" s="281" t="s">
        <v>88</v>
      </c>
      <c r="F8" s="247" t="s">
        <v>5</v>
      </c>
      <c r="G8" s="247" t="s">
        <v>112</v>
      </c>
      <c r="H8" s="247"/>
      <c r="I8" s="247"/>
      <c r="J8" s="247"/>
      <c r="K8" s="250" t="s">
        <v>0</v>
      </c>
      <c r="L8" s="251"/>
      <c r="M8" s="62" t="s">
        <v>7</v>
      </c>
      <c r="N8" s="259" t="s">
        <v>9</v>
      </c>
      <c r="O8" s="260"/>
      <c r="P8" s="261"/>
      <c r="Q8" s="259" t="s">
        <v>44</v>
      </c>
      <c r="R8" s="260"/>
      <c r="S8" s="261"/>
      <c r="T8" s="267" t="s">
        <v>31</v>
      </c>
      <c r="U8" s="248" t="s">
        <v>28</v>
      </c>
      <c r="X8" s="240" t="s">
        <v>111</v>
      </c>
      <c r="Y8" s="241"/>
      <c r="Z8" s="241"/>
      <c r="AA8" s="241"/>
      <c r="AB8" s="242"/>
      <c r="AD8" s="240" t="s">
        <v>46</v>
      </c>
      <c r="AE8" s="241"/>
      <c r="AF8" s="241"/>
      <c r="AG8" s="241"/>
      <c r="AH8" s="242"/>
      <c r="AJ8" s="243" t="s">
        <v>43</v>
      </c>
      <c r="AK8" s="244"/>
      <c r="AM8" s="283" t="s">
        <v>58</v>
      </c>
      <c r="AN8" s="284"/>
      <c r="AO8" s="284"/>
      <c r="AP8" s="284"/>
      <c r="AQ8" s="285"/>
      <c r="AU8" s="205" t="s">
        <v>93</v>
      </c>
      <c r="AV8" s="206"/>
      <c r="AW8" s="206"/>
      <c r="AX8" s="206"/>
      <c r="AY8" s="207" t="s">
        <v>18</v>
      </c>
      <c r="AZ8" s="207" t="s">
        <v>19</v>
      </c>
      <c r="BA8" s="208" t="s">
        <v>7</v>
      </c>
    </row>
    <row r="9" spans="2:53" x14ac:dyDescent="0.25">
      <c r="B9" s="15" t="s">
        <v>85</v>
      </c>
      <c r="C9" s="21"/>
      <c r="D9" s="195" t="s">
        <v>86</v>
      </c>
      <c r="E9" s="282"/>
      <c r="F9" s="274"/>
      <c r="G9" s="60" t="s">
        <v>127</v>
      </c>
      <c r="H9" s="59" t="s">
        <v>126</v>
      </c>
      <c r="I9" s="257" t="s">
        <v>6</v>
      </c>
      <c r="J9" s="258"/>
      <c r="K9" s="252" t="s">
        <v>109</v>
      </c>
      <c r="L9" s="253"/>
      <c r="M9" s="220" t="s">
        <v>12</v>
      </c>
      <c r="N9" s="252" t="s">
        <v>109</v>
      </c>
      <c r="O9" s="262"/>
      <c r="P9" s="63" t="s">
        <v>110</v>
      </c>
      <c r="Q9" s="252" t="s">
        <v>109</v>
      </c>
      <c r="R9" s="262"/>
      <c r="S9" s="63" t="s">
        <v>110</v>
      </c>
      <c r="T9" s="268"/>
      <c r="U9" s="249"/>
      <c r="X9" s="64" t="s">
        <v>14</v>
      </c>
      <c r="Y9" s="65" t="s">
        <v>32</v>
      </c>
      <c r="Z9" s="65" t="s">
        <v>11</v>
      </c>
      <c r="AA9" s="65" t="s">
        <v>12</v>
      </c>
      <c r="AB9" s="66" t="s">
        <v>49</v>
      </c>
      <c r="AD9" s="64" t="str">
        <f>X9</f>
        <v>Mínimo</v>
      </c>
      <c r="AE9" s="65" t="str">
        <f t="shared" ref="AE9:AH9" si="0">Y9</f>
        <v>Tendencia</v>
      </c>
      <c r="AF9" s="65" t="str">
        <f t="shared" si="0"/>
        <v>Esperado</v>
      </c>
      <c r="AG9" s="65" t="str">
        <f t="shared" si="0"/>
        <v>Promedio</v>
      </c>
      <c r="AH9" s="66" t="str">
        <f t="shared" si="0"/>
        <v>Máximo</v>
      </c>
      <c r="AJ9" s="67" t="s">
        <v>36</v>
      </c>
      <c r="AK9" s="63" t="s">
        <v>98</v>
      </c>
      <c r="AM9" s="64" t="str">
        <f>AD9</f>
        <v>Mínimo</v>
      </c>
      <c r="AN9" s="65" t="str">
        <f t="shared" ref="AN9:AQ9" si="1">AE9</f>
        <v>Tendencia</v>
      </c>
      <c r="AO9" s="65" t="str">
        <f t="shared" si="1"/>
        <v>Esperado</v>
      </c>
      <c r="AP9" s="65" t="str">
        <f t="shared" si="1"/>
        <v>Promedio</v>
      </c>
      <c r="AQ9" s="66" t="str">
        <f t="shared" si="1"/>
        <v>Máximo</v>
      </c>
      <c r="AU9" s="209"/>
      <c r="AV9" s="210"/>
      <c r="AW9" s="211" t="s">
        <v>95</v>
      </c>
      <c r="AX9" s="211" t="s">
        <v>96</v>
      </c>
      <c r="AY9" s="211"/>
      <c r="AZ9" s="211"/>
      <c r="BA9" s="212"/>
    </row>
    <row r="10" spans="2:53" ht="18.75" x14ac:dyDescent="0.25">
      <c r="B10" s="245" t="s">
        <v>34</v>
      </c>
      <c r="C10" s="95" t="s">
        <v>52</v>
      </c>
      <c r="D10" s="103" t="s">
        <v>80</v>
      </c>
      <c r="E10" s="104">
        <v>1</v>
      </c>
      <c r="F10" s="202">
        <f>366+42</f>
        <v>408</v>
      </c>
      <c r="G10" s="202">
        <f>H10*(AG10-AA10)</f>
        <v>20</v>
      </c>
      <c r="H10" s="202">
        <v>2000</v>
      </c>
      <c r="I10" s="203"/>
      <c r="J10" s="204"/>
      <c r="K10" s="193">
        <f>F10*SUM(G10:J10)</f>
        <v>824160</v>
      </c>
      <c r="L10" s="115">
        <f t="shared" ref="L10:L41" si="2">IF($K$49=0,0,K10/$K$49)</f>
        <v>9.9458763773273048E-2</v>
      </c>
      <c r="M10" s="109">
        <f>SUMPRODUCT(($M$9=$X$9:$AB$9)*(X10:AB10))</f>
        <v>1.4E-2</v>
      </c>
      <c r="N10" s="123">
        <f t="shared" ref="N10:N48" si="3">K10*M10</f>
        <v>11538.24</v>
      </c>
      <c r="O10" s="124">
        <f t="shared" ref="O10:O41" si="4">IF($N$49=0,0,N10/$N$49)</f>
        <v>5.5146546384682776E-2</v>
      </c>
      <c r="P10" s="125">
        <f t="shared" ref="P10:P48" si="5">IF(F10=0,0,N10/F10)</f>
        <v>28.28</v>
      </c>
      <c r="Q10" s="123">
        <f t="shared" ref="Q10:Q14" si="6">K10*U10</f>
        <v>19779.84</v>
      </c>
      <c r="R10" s="124">
        <f t="shared" ref="R10:R41" si="7">IF($Q$49=0,0,Q10/$Q$49)</f>
        <v>3.0519842337950923E-2</v>
      </c>
      <c r="S10" s="125">
        <f t="shared" ref="S10:S11" si="8">IF(F10=0,0,Q10/F10)</f>
        <v>48.48</v>
      </c>
      <c r="T10" s="126">
        <f>IFERROR(N10/Q10,0)</f>
        <v>0.58333333333333337</v>
      </c>
      <c r="U10" s="146">
        <f>SUMPRODUCT(($M$9=$AD$9:$AH$9)*(AD10:AH10))</f>
        <v>2.4E-2</v>
      </c>
      <c r="W10" s="68"/>
      <c r="X10" s="152">
        <v>1.7999999999999999E-2</v>
      </c>
      <c r="Y10" s="153">
        <v>0.02</v>
      </c>
      <c r="Z10" s="153">
        <v>1.7500000000000002E-2</v>
      </c>
      <c r="AA10" s="153">
        <f>AG10-1%</f>
        <v>1.4E-2</v>
      </c>
      <c r="AB10" s="154">
        <v>2.8000000000000001E-2</v>
      </c>
      <c r="AD10" s="69">
        <f>X10+1%</f>
        <v>2.7999999999999997E-2</v>
      </c>
      <c r="AE10" s="70">
        <f t="shared" ref="AE10:AE12" si="9">Y10+1%</f>
        <v>0.03</v>
      </c>
      <c r="AF10" s="70">
        <v>2.3E-2</v>
      </c>
      <c r="AG10" s="70">
        <v>2.4E-2</v>
      </c>
      <c r="AH10" s="71">
        <f t="shared" ref="AH10:AH12" si="10">AB10+1%</f>
        <v>3.7999999999999999E-2</v>
      </c>
      <c r="AJ10" s="161">
        <v>1</v>
      </c>
      <c r="AK10" s="359">
        <f t="shared" ref="AK10:AK48" si="11">1-AJ10</f>
        <v>0</v>
      </c>
      <c r="AL10" s="72" t="str">
        <f>C10</f>
        <v>A</v>
      </c>
      <c r="AM10" s="163">
        <f>IFERROR($K10*AD10/$F10,0)</f>
        <v>56.559999999999988</v>
      </c>
      <c r="AN10" s="164">
        <f t="shared" ref="AN10:AN12" si="12">IFERROR($K10*AE10/$F10,0)</f>
        <v>60.6</v>
      </c>
      <c r="AO10" s="164">
        <f t="shared" ref="AO10:AO12" si="13">IFERROR($K10*AF10/$F10,0)</f>
        <v>46.46</v>
      </c>
      <c r="AP10" s="164">
        <f t="shared" ref="AP10:AP12" si="14">IFERROR($K10*AG10/$F10,0)</f>
        <v>48.48</v>
      </c>
      <c r="AQ10" s="165">
        <f t="shared" ref="AQ10:AQ12" si="15">IFERROR($K10*AH10/$F10,0)</f>
        <v>76.759999999999991</v>
      </c>
      <c r="AU10" s="209" t="s">
        <v>15</v>
      </c>
      <c r="AV10" s="230">
        <v>1</v>
      </c>
      <c r="AW10" s="227">
        <f>SUMPRODUCT((AV10=Portfolio!$E$10:$E$48)*(Portfolio!$K$10:$K$48))</f>
        <v>7797612.0733333332</v>
      </c>
      <c r="AX10" s="227">
        <f>SUMPRODUCT((AV10=Portfolio!$E$10:$E$48)*(Portfolio!$N$10:$N$48))</f>
        <v>143613.35419999997</v>
      </c>
      <c r="AY10" s="218">
        <f>AW10/SUM($AW$10:$AW$12)</f>
        <v>0.94100764074607102</v>
      </c>
      <c r="AZ10" s="214">
        <f>AX10/SUM($AX$10:$AX$12)</f>
        <v>0.68639415533479775</v>
      </c>
      <c r="BA10" s="216">
        <f t="shared" ref="BA10:BA11" si="16">IF(AW10=0,0,AX10/AW10)</f>
        <v>1.8417606935222663E-2</v>
      </c>
    </row>
    <row r="11" spans="2:53" ht="18.75" x14ac:dyDescent="0.25">
      <c r="B11" s="246"/>
      <c r="C11" s="96" t="s">
        <v>53</v>
      </c>
      <c r="D11" s="102" t="s">
        <v>79</v>
      </c>
      <c r="E11" s="105">
        <v>1</v>
      </c>
      <c r="F11" s="101">
        <v>316</v>
      </c>
      <c r="G11" s="101">
        <f t="shared" ref="G11:G13" si="17">H11*(AG11-AA11)</f>
        <v>48</v>
      </c>
      <c r="H11" s="101">
        <v>4800</v>
      </c>
      <c r="I11" s="12"/>
      <c r="J11" s="196"/>
      <c r="K11" s="120">
        <f t="shared" ref="K11:K48" si="18">F11*SUM(G11:J11)</f>
        <v>1531968</v>
      </c>
      <c r="L11" s="116">
        <f t="shared" si="2"/>
        <v>0.18487629030796637</v>
      </c>
      <c r="M11" s="110">
        <f>SUMPRODUCT(($M$9=$X$9:$AB$9)*(X11:AB11))</f>
        <v>1.4E-2</v>
      </c>
      <c r="N11" s="127">
        <f t="shared" si="3"/>
        <v>21447.552</v>
      </c>
      <c r="O11" s="128">
        <f t="shared" si="4"/>
        <v>0.10250769798564563</v>
      </c>
      <c r="P11" s="129">
        <f t="shared" si="5"/>
        <v>67.872</v>
      </c>
      <c r="Q11" s="127">
        <f t="shared" si="6"/>
        <v>36767.232000000004</v>
      </c>
      <c r="R11" s="128">
        <f t="shared" si="7"/>
        <v>5.6731001051720541E-2</v>
      </c>
      <c r="S11" s="129">
        <f t="shared" si="8"/>
        <v>116.35200000000002</v>
      </c>
      <c r="T11" s="130">
        <f t="shared" ref="T11:T48" si="19">IFERROR(N11/Q11,0)</f>
        <v>0.58333333333333326</v>
      </c>
      <c r="U11" s="147">
        <f>SUMPRODUCT(($M$9=$AD$9:$AH$9)*(AD11:AH11))</f>
        <v>2.4E-2</v>
      </c>
      <c r="W11" s="68"/>
      <c r="X11" s="155">
        <v>1.7999999999999999E-2</v>
      </c>
      <c r="Y11" s="156">
        <v>0.02</v>
      </c>
      <c r="Z11" s="156">
        <v>-2.5000000000000001E-2</v>
      </c>
      <c r="AA11" s="156">
        <f t="shared" ref="AA11:AA13" si="20">AG11-1%</f>
        <v>1.4E-2</v>
      </c>
      <c r="AB11" s="157">
        <v>2.8000000000000001E-2</v>
      </c>
      <c r="AD11" s="73">
        <f t="shared" ref="AD11:AD12" si="21">X11+1%</f>
        <v>2.7999999999999997E-2</v>
      </c>
      <c r="AE11" s="74">
        <f t="shared" si="9"/>
        <v>0.03</v>
      </c>
      <c r="AF11" s="74">
        <v>0</v>
      </c>
      <c r="AG11" s="74">
        <v>2.4E-2</v>
      </c>
      <c r="AH11" s="75">
        <f t="shared" si="10"/>
        <v>3.7999999999999999E-2</v>
      </c>
      <c r="AJ11" s="161">
        <v>0.1</v>
      </c>
      <c r="AK11" s="359">
        <f t="shared" si="11"/>
        <v>0.9</v>
      </c>
      <c r="AL11" s="72" t="str">
        <f t="shared" ref="AL11:AL19" si="22">C11</f>
        <v>B</v>
      </c>
      <c r="AM11" s="166">
        <f t="shared" ref="AM11:AM12" si="23">IFERROR($K11*AD11/$F11,0)</f>
        <v>135.74399999999997</v>
      </c>
      <c r="AN11" s="167">
        <f t="shared" si="12"/>
        <v>145.44</v>
      </c>
      <c r="AO11" s="167">
        <f t="shared" si="13"/>
        <v>0</v>
      </c>
      <c r="AP11" s="167">
        <f t="shared" si="14"/>
        <v>116.35200000000002</v>
      </c>
      <c r="AQ11" s="168">
        <f t="shared" si="15"/>
        <v>184.22399999999999</v>
      </c>
      <c r="AU11" s="209" t="s">
        <v>16</v>
      </c>
      <c r="AV11" s="230">
        <v>2</v>
      </c>
      <c r="AW11" s="226">
        <f>SUMPRODUCT((AV11=Portfolio!$E$10:$E$48)*(Portfolio!$K$10:$K$48))</f>
        <v>209976.81199999998</v>
      </c>
      <c r="AX11" s="227">
        <f>SUMPRODUCT((AV11=Portfolio!$E$10:$E$48)*(Portfolio!$N$10:$N$48))</f>
        <v>20997.681199999999</v>
      </c>
      <c r="AY11" s="218">
        <f>AW11/SUM($AW$10:$AW$12)</f>
        <v>2.5339781283455837E-2</v>
      </c>
      <c r="AZ11" s="214">
        <f>AX11/SUM($AX$10:$AX$12)</f>
        <v>0.1003575588882344</v>
      </c>
      <c r="BA11" s="216">
        <f t="shared" si="16"/>
        <v>0.1</v>
      </c>
    </row>
    <row r="12" spans="2:53" ht="18.75" x14ac:dyDescent="0.25">
      <c r="B12" s="246"/>
      <c r="C12" s="96" t="s">
        <v>54</v>
      </c>
      <c r="D12" s="102" t="s">
        <v>82</v>
      </c>
      <c r="E12" s="105">
        <v>1</v>
      </c>
      <c r="F12" s="101">
        <f>668-F13</f>
        <v>612</v>
      </c>
      <c r="G12" s="101">
        <f t="shared" si="17"/>
        <v>80.000000000000014</v>
      </c>
      <c r="H12" s="101">
        <v>8000</v>
      </c>
      <c r="I12" s="12"/>
      <c r="J12" s="196"/>
      <c r="K12" s="120">
        <f t="shared" si="18"/>
        <v>4944960</v>
      </c>
      <c r="L12" s="116">
        <f t="shared" si="2"/>
        <v>0.59675258263963826</v>
      </c>
      <c r="M12" s="110">
        <f t="shared" ref="M12" si="24">SUMPRODUCT(($M$9=$X$9:$AB$9)*(X12:AB12))</f>
        <v>1.9999999999999997E-2</v>
      </c>
      <c r="N12" s="127">
        <f t="shared" ref="N12" si="25">K12*M12</f>
        <v>98899.199999999983</v>
      </c>
      <c r="O12" s="128">
        <f t="shared" si="4"/>
        <v>0.47268468329728086</v>
      </c>
      <c r="P12" s="129">
        <f t="shared" ref="P12" si="26">IF(F12=0,0,N12/F12)</f>
        <v>161.59999999999997</v>
      </c>
      <c r="Q12" s="127">
        <f t="shared" si="6"/>
        <v>148348.79999999999</v>
      </c>
      <c r="R12" s="128">
        <f t="shared" si="7"/>
        <v>0.2288988175346319</v>
      </c>
      <c r="S12" s="129">
        <f>IF(F12=0,0,Q12/F12)</f>
        <v>242.39999999999998</v>
      </c>
      <c r="T12" s="130">
        <f t="shared" si="19"/>
        <v>0.66666666666666663</v>
      </c>
      <c r="U12" s="147">
        <f>SUMPRODUCT(($M$9=$AD$9:$AH$9)*(AD12:AH12))</f>
        <v>0.03</v>
      </c>
      <c r="W12" s="68"/>
      <c r="X12" s="155">
        <v>1.4999999999999999E-2</v>
      </c>
      <c r="Y12" s="156">
        <v>1.7999999999999999E-2</v>
      </c>
      <c r="Z12" s="156">
        <v>2.1000000000000001E-2</v>
      </c>
      <c r="AA12" s="156">
        <f t="shared" si="20"/>
        <v>1.9999999999999997E-2</v>
      </c>
      <c r="AB12" s="157">
        <v>2.8000000000000001E-2</v>
      </c>
      <c r="AD12" s="73">
        <f t="shared" si="21"/>
        <v>2.5000000000000001E-2</v>
      </c>
      <c r="AE12" s="74">
        <f t="shared" si="9"/>
        <v>2.7999999999999997E-2</v>
      </c>
      <c r="AF12" s="74">
        <v>2.5000000000000001E-2</v>
      </c>
      <c r="AG12" s="74">
        <v>0.03</v>
      </c>
      <c r="AH12" s="75">
        <f t="shared" si="10"/>
        <v>3.7999999999999999E-2</v>
      </c>
      <c r="AJ12" s="161">
        <v>0</v>
      </c>
      <c r="AK12" s="359">
        <f t="shared" si="11"/>
        <v>1</v>
      </c>
      <c r="AL12" s="72" t="str">
        <f t="shared" si="22"/>
        <v>C</v>
      </c>
      <c r="AM12" s="166">
        <f t="shared" si="23"/>
        <v>202</v>
      </c>
      <c r="AN12" s="167">
        <f t="shared" si="12"/>
        <v>226.23999999999995</v>
      </c>
      <c r="AO12" s="167">
        <f t="shared" si="13"/>
        <v>202</v>
      </c>
      <c r="AP12" s="167">
        <f t="shared" si="14"/>
        <v>242.39999999999998</v>
      </c>
      <c r="AQ12" s="168">
        <f t="shared" si="15"/>
        <v>307.03999999999996</v>
      </c>
      <c r="AU12" s="213" t="s">
        <v>17</v>
      </c>
      <c r="AV12" s="231">
        <v>3</v>
      </c>
      <c r="AW12" s="228">
        <f>SUMPRODUCT((AV12=Portfolio!$E$10:$E$48)*(Portfolio!$K$10:$K$48))</f>
        <v>278860.38</v>
      </c>
      <c r="AX12" s="229">
        <f>SUMPRODUCT((AV12=Portfolio!$E$10:$E$48)*(Portfolio!$N$10:$N$48))</f>
        <v>44617.660799999998</v>
      </c>
      <c r="AY12" s="219">
        <f>AW12/SUM($AW$10:$AW$12)</f>
        <v>3.3652577970473156E-2</v>
      </c>
      <c r="AZ12" s="215">
        <f>AX12/SUM($AX$10:$AX$12)</f>
        <v>0.21324828577696794</v>
      </c>
      <c r="BA12" s="217">
        <f>IF(AW12=0,0,AX12/AW12)</f>
        <v>0.16</v>
      </c>
    </row>
    <row r="13" spans="2:53" ht="18.75" x14ac:dyDescent="0.25">
      <c r="B13" s="246"/>
      <c r="C13" s="96" t="s">
        <v>55</v>
      </c>
      <c r="D13" s="102" t="s">
        <v>81</v>
      </c>
      <c r="E13" s="105">
        <v>1</v>
      </c>
      <c r="F13" s="101">
        <f>38+18</f>
        <v>56</v>
      </c>
      <c r="G13" s="101">
        <f t="shared" si="17"/>
        <v>35</v>
      </c>
      <c r="H13" s="101">
        <v>3500</v>
      </c>
      <c r="I13" s="12"/>
      <c r="J13" s="196"/>
      <c r="K13" s="120">
        <f t="shared" ref="K13" si="27">F13*SUM(G13:J13)</f>
        <v>197960</v>
      </c>
      <c r="L13" s="116">
        <f t="shared" si="2"/>
        <v>2.388960502397245E-2</v>
      </c>
      <c r="M13" s="110">
        <f t="shared" ref="M13" si="28">SUMPRODUCT(($M$9=$X$9:$AB$9)*(X13:AB13))</f>
        <v>1.4E-2</v>
      </c>
      <c r="N13" s="127">
        <f t="shared" ref="N13" si="29">K13*M13</f>
        <v>2771.44</v>
      </c>
      <c r="O13" s="128">
        <f t="shared" si="4"/>
        <v>1.3245984180634589E-2</v>
      </c>
      <c r="P13" s="129">
        <f t="shared" ref="P13" si="30">IF(F13=0,0,N13/F13)</f>
        <v>49.49</v>
      </c>
      <c r="Q13" s="127">
        <f t="shared" ref="Q13" si="31">K13*U13</f>
        <v>4751.04</v>
      </c>
      <c r="R13" s="128">
        <f t="shared" si="7"/>
        <v>7.3307464439195842E-3</v>
      </c>
      <c r="S13" s="129">
        <f>IF(F13=0,0,Q13/F13)</f>
        <v>84.84</v>
      </c>
      <c r="T13" s="130">
        <f t="shared" ref="T13" si="32">IFERROR(N13/Q13,0)</f>
        <v>0.58333333333333337</v>
      </c>
      <c r="U13" s="147">
        <f t="shared" ref="U13" si="33">SUMPRODUCT(($M$9=$AD$9:$AH$9)*(AD13:AH13))</f>
        <v>2.4E-2</v>
      </c>
      <c r="W13" s="68"/>
      <c r="X13" s="155">
        <v>1.4999999999999999E-2</v>
      </c>
      <c r="Y13" s="156">
        <v>1.7999999999999999E-2</v>
      </c>
      <c r="Z13" s="156">
        <v>9.6000000000000002E-2</v>
      </c>
      <c r="AA13" s="156">
        <f t="shared" si="20"/>
        <v>1.4E-2</v>
      </c>
      <c r="AB13" s="157">
        <v>2.8000000000000001E-2</v>
      </c>
      <c r="AD13" s="73">
        <f t="shared" ref="AD13" si="34">X13+1%</f>
        <v>2.5000000000000001E-2</v>
      </c>
      <c r="AE13" s="74">
        <f t="shared" ref="AE13" si="35">Y13+1%</f>
        <v>2.7999999999999997E-2</v>
      </c>
      <c r="AF13" s="74">
        <v>2.5000000000000001E-2</v>
      </c>
      <c r="AG13" s="74">
        <v>2.4E-2</v>
      </c>
      <c r="AH13" s="75">
        <f t="shared" ref="AH13" si="36">AB13+1%</f>
        <v>3.7999999999999999E-2</v>
      </c>
      <c r="AJ13" s="161">
        <v>1</v>
      </c>
      <c r="AK13" s="359">
        <f t="shared" ref="AK13:AK19" si="37">1-AJ13</f>
        <v>0</v>
      </c>
      <c r="AL13" s="72" t="str">
        <f t="shared" si="22"/>
        <v>D</v>
      </c>
      <c r="AM13" s="166">
        <f t="shared" ref="AM13:AM19" si="38">IFERROR($K13*AD13/$F13,0)</f>
        <v>88.375</v>
      </c>
      <c r="AN13" s="167">
        <f t="shared" ref="AN13:AN19" si="39">IFERROR($K13*AE13/$F13,0)</f>
        <v>98.97999999999999</v>
      </c>
      <c r="AO13" s="167">
        <f t="shared" ref="AO13:AO19" si="40">IFERROR($K13*AF13/$F13,0)</f>
        <v>88.375</v>
      </c>
      <c r="AP13" s="167">
        <f t="shared" ref="AP13:AP19" si="41">IFERROR($K13*AG13/$F13,0)</f>
        <v>84.84</v>
      </c>
      <c r="AQ13" s="168">
        <f t="shared" ref="AQ13:AQ19" si="42">IFERROR($K13*AH13/$F13,0)</f>
        <v>134.32999999999998</v>
      </c>
      <c r="AY13" s="2"/>
      <c r="AZ13" s="2"/>
      <c r="BA13" s="2"/>
    </row>
    <row r="14" spans="2:53" ht="18.75" x14ac:dyDescent="0.25">
      <c r="B14" s="246"/>
      <c r="C14" s="96" t="s">
        <v>56</v>
      </c>
      <c r="D14" s="102"/>
      <c r="E14" s="105">
        <v>1</v>
      </c>
      <c r="F14" s="101"/>
      <c r="G14" s="101"/>
      <c r="H14" s="101"/>
      <c r="I14" s="12"/>
      <c r="J14" s="196"/>
      <c r="K14" s="120">
        <f t="shared" ref="K14" si="43">F14*SUM(G14:J14)</f>
        <v>0</v>
      </c>
      <c r="L14" s="116">
        <f t="shared" si="2"/>
        <v>0</v>
      </c>
      <c r="M14" s="110">
        <f t="shared" ref="M14" si="44">SUMPRODUCT(($M$9=$X$9:$AB$9)*(X14:AB14))</f>
        <v>2.1999999999999999E-2</v>
      </c>
      <c r="N14" s="127">
        <f t="shared" ref="N14" si="45">K14*M14</f>
        <v>0</v>
      </c>
      <c r="O14" s="128">
        <f t="shared" si="4"/>
        <v>0</v>
      </c>
      <c r="P14" s="129">
        <f t="shared" ref="P14" si="46">IF(F14=0,0,N14/F14)</f>
        <v>0</v>
      </c>
      <c r="Q14" s="127">
        <f t="shared" si="6"/>
        <v>0</v>
      </c>
      <c r="R14" s="128">
        <f t="shared" si="7"/>
        <v>0</v>
      </c>
      <c r="S14" s="129">
        <f t="shared" ref="S14:S48" si="47">IF(F14=0,0,Q14/F14)</f>
        <v>0</v>
      </c>
      <c r="T14" s="130">
        <f t="shared" si="19"/>
        <v>0</v>
      </c>
      <c r="U14" s="147">
        <f>SUMPRODUCT(($M$9=$AD$9:$AH$9)*(AD14:AH14))</f>
        <v>2.5000000000000001E-2</v>
      </c>
      <c r="W14" s="68"/>
      <c r="X14" s="155">
        <v>1.4999999999999999E-2</v>
      </c>
      <c r="Y14" s="156">
        <v>1.7999999999999999E-2</v>
      </c>
      <c r="Z14" s="156">
        <v>2.1000000000000001E-2</v>
      </c>
      <c r="AA14" s="156">
        <v>2.1999999999999999E-2</v>
      </c>
      <c r="AB14" s="157">
        <v>2.8000000000000001E-2</v>
      </c>
      <c r="AD14" s="73">
        <f t="shared" ref="AD14:AD15" si="48">X14+1%</f>
        <v>2.5000000000000001E-2</v>
      </c>
      <c r="AE14" s="74">
        <f t="shared" ref="AE14:AE15" si="49">Y14+1%</f>
        <v>2.7999999999999997E-2</v>
      </c>
      <c r="AF14" s="74">
        <v>2.5000000000000001E-2</v>
      </c>
      <c r="AG14" s="74">
        <v>2.5000000000000001E-2</v>
      </c>
      <c r="AH14" s="75">
        <f t="shared" ref="AH14:AH15" si="50">AB14+1%</f>
        <v>3.7999999999999999E-2</v>
      </c>
      <c r="AJ14" s="161">
        <v>0</v>
      </c>
      <c r="AK14" s="359">
        <f t="shared" si="37"/>
        <v>1</v>
      </c>
      <c r="AL14" s="72" t="str">
        <f t="shared" si="22"/>
        <v>E</v>
      </c>
      <c r="AM14" s="166">
        <f t="shared" si="38"/>
        <v>0</v>
      </c>
      <c r="AN14" s="167">
        <f t="shared" si="39"/>
        <v>0</v>
      </c>
      <c r="AO14" s="167">
        <f t="shared" si="40"/>
        <v>0</v>
      </c>
      <c r="AP14" s="167">
        <f t="shared" si="41"/>
        <v>0</v>
      </c>
      <c r="AQ14" s="168">
        <f t="shared" si="42"/>
        <v>0</v>
      </c>
      <c r="AY14" s="2"/>
      <c r="AZ14" s="2"/>
      <c r="BA14" s="2"/>
    </row>
    <row r="15" spans="2:53" ht="18.75" x14ac:dyDescent="0.25">
      <c r="B15" s="246"/>
      <c r="C15" s="96" t="s">
        <v>57</v>
      </c>
      <c r="D15" s="102"/>
      <c r="E15" s="105">
        <v>1</v>
      </c>
      <c r="F15" s="101">
        <v>0</v>
      </c>
      <c r="G15" s="101">
        <v>0</v>
      </c>
      <c r="H15" s="101">
        <v>0</v>
      </c>
      <c r="I15" s="12"/>
      <c r="J15" s="196"/>
      <c r="K15" s="120">
        <f t="shared" ref="K15" si="51">F15*SUM(G15:J15)</f>
        <v>0</v>
      </c>
      <c r="L15" s="116">
        <f t="shared" si="2"/>
        <v>0</v>
      </c>
      <c r="M15" s="110">
        <f t="shared" ref="M15" si="52">SUMPRODUCT(($M$9=$X$9:$AB$9)*(X15:AB15))</f>
        <v>1.4999999999999999E-2</v>
      </c>
      <c r="N15" s="127">
        <f t="shared" ref="N15" si="53">K15*M15</f>
        <v>0</v>
      </c>
      <c r="O15" s="128">
        <f t="shared" si="4"/>
        <v>0</v>
      </c>
      <c r="P15" s="129">
        <f t="shared" ref="P15" si="54">IF(F15=0,0,N15/F15)</f>
        <v>0</v>
      </c>
      <c r="Q15" s="127">
        <f t="shared" ref="Q15" si="55">K15*U15</f>
        <v>0</v>
      </c>
      <c r="R15" s="128">
        <f t="shared" si="7"/>
        <v>0</v>
      </c>
      <c r="S15" s="129">
        <f t="shared" ref="S15" si="56">IF(F15=0,0,Q15/F15)</f>
        <v>0</v>
      </c>
      <c r="T15" s="130">
        <f t="shared" ref="T15" si="57">IFERROR(N15/Q15,0)</f>
        <v>0</v>
      </c>
      <c r="U15" s="147">
        <f t="shared" ref="U15" si="58">SUMPRODUCT(($M$9=$AD$9:$AH$9)*(AD15:AH15))</f>
        <v>0.02</v>
      </c>
      <c r="W15" s="68"/>
      <c r="X15" s="155">
        <v>1.4999999999999999E-2</v>
      </c>
      <c r="Y15" s="156">
        <v>1.7999999999999999E-2</v>
      </c>
      <c r="Z15" s="156">
        <v>0.01</v>
      </c>
      <c r="AA15" s="156">
        <v>1.4999999999999999E-2</v>
      </c>
      <c r="AB15" s="157">
        <v>2.8000000000000001E-2</v>
      </c>
      <c r="AD15" s="73">
        <f t="shared" si="48"/>
        <v>2.5000000000000001E-2</v>
      </c>
      <c r="AE15" s="74">
        <f t="shared" si="49"/>
        <v>2.7999999999999997E-2</v>
      </c>
      <c r="AF15" s="74">
        <v>1.7000000000000001E-2</v>
      </c>
      <c r="AG15" s="74">
        <v>0.02</v>
      </c>
      <c r="AH15" s="75">
        <f t="shared" si="50"/>
        <v>3.7999999999999999E-2</v>
      </c>
      <c r="AJ15" s="161">
        <v>0</v>
      </c>
      <c r="AK15" s="359">
        <f t="shared" si="37"/>
        <v>1</v>
      </c>
      <c r="AL15" s="72" t="str">
        <f t="shared" si="22"/>
        <v>F</v>
      </c>
      <c r="AM15" s="166">
        <f t="shared" si="38"/>
        <v>0</v>
      </c>
      <c r="AN15" s="167">
        <f t="shared" si="39"/>
        <v>0</v>
      </c>
      <c r="AO15" s="167">
        <f t="shared" si="40"/>
        <v>0</v>
      </c>
      <c r="AP15" s="167">
        <f t="shared" si="41"/>
        <v>0</v>
      </c>
      <c r="AQ15" s="168">
        <f t="shared" si="42"/>
        <v>0</v>
      </c>
      <c r="AY15" s="2"/>
      <c r="AZ15" s="2"/>
      <c r="BA15" s="2"/>
    </row>
    <row r="16" spans="2:53" ht="18.75" x14ac:dyDescent="0.25">
      <c r="B16" s="246"/>
      <c r="C16" s="96" t="s">
        <v>75</v>
      </c>
      <c r="D16" s="102"/>
      <c r="E16" s="105">
        <v>1</v>
      </c>
      <c r="F16" s="101">
        <v>0</v>
      </c>
      <c r="G16" s="101">
        <v>0</v>
      </c>
      <c r="H16" s="101">
        <v>0</v>
      </c>
      <c r="I16" s="12"/>
      <c r="J16" s="196"/>
      <c r="K16" s="120">
        <f t="shared" ref="K16:K19" si="59">F16*SUM(G16:J16)</f>
        <v>0</v>
      </c>
      <c r="L16" s="116">
        <f t="shared" si="2"/>
        <v>0</v>
      </c>
      <c r="M16" s="110">
        <f t="shared" ref="M16:M19" si="60">SUMPRODUCT(($M$9=$X$9:$AB$9)*(X16:AB16))</f>
        <v>1.9E-2</v>
      </c>
      <c r="N16" s="127">
        <f t="shared" ref="N16:N19" si="61">K16*M16</f>
        <v>0</v>
      </c>
      <c r="O16" s="128">
        <f t="shared" si="4"/>
        <v>0</v>
      </c>
      <c r="P16" s="129">
        <f t="shared" ref="P16:P19" si="62">IF(F16=0,0,N16/F16)</f>
        <v>0</v>
      </c>
      <c r="Q16" s="127">
        <f t="shared" ref="Q16:Q19" si="63">K16*U16</f>
        <v>0</v>
      </c>
      <c r="R16" s="128">
        <f t="shared" si="7"/>
        <v>0</v>
      </c>
      <c r="S16" s="129">
        <f t="shared" ref="S16:S19" si="64">IF(F16=0,0,Q16/F16)</f>
        <v>0</v>
      </c>
      <c r="T16" s="130">
        <f t="shared" ref="T16:T19" si="65">IFERROR(N16/Q16,0)</f>
        <v>0</v>
      </c>
      <c r="U16" s="147">
        <f t="shared" ref="U16:U19" si="66">SUMPRODUCT(($M$9=$AD$9:$AH$9)*(AD16:AH16))</f>
        <v>2.4E-2</v>
      </c>
      <c r="W16" s="68"/>
      <c r="X16" s="155">
        <v>1.4999999999999999E-2</v>
      </c>
      <c r="Y16" s="156">
        <v>1.7999999999999999E-2</v>
      </c>
      <c r="Z16" s="156">
        <v>1.7999999999999999E-2</v>
      </c>
      <c r="AA16" s="156">
        <v>1.9E-2</v>
      </c>
      <c r="AB16" s="157">
        <v>2.8000000000000001E-2</v>
      </c>
      <c r="AD16" s="73">
        <f t="shared" ref="AD16:AD19" si="67">X16+1%</f>
        <v>2.5000000000000001E-2</v>
      </c>
      <c r="AE16" s="74">
        <f t="shared" ref="AE16:AE19" si="68">Y16+1%</f>
        <v>2.7999999999999997E-2</v>
      </c>
      <c r="AF16" s="74">
        <v>2.4E-2</v>
      </c>
      <c r="AG16" s="74">
        <v>2.4E-2</v>
      </c>
      <c r="AH16" s="75">
        <f t="shared" ref="AH16:AH19" si="69">AB16+1%</f>
        <v>3.7999999999999999E-2</v>
      </c>
      <c r="AJ16" s="161">
        <v>0</v>
      </c>
      <c r="AK16" s="359">
        <f t="shared" si="37"/>
        <v>1</v>
      </c>
      <c r="AL16" s="72" t="str">
        <f t="shared" si="22"/>
        <v>G</v>
      </c>
      <c r="AM16" s="166">
        <f t="shared" si="38"/>
        <v>0</v>
      </c>
      <c r="AN16" s="167">
        <f t="shared" si="39"/>
        <v>0</v>
      </c>
      <c r="AO16" s="167">
        <f t="shared" si="40"/>
        <v>0</v>
      </c>
      <c r="AP16" s="167">
        <f t="shared" si="41"/>
        <v>0</v>
      </c>
      <c r="AQ16" s="168">
        <f t="shared" si="42"/>
        <v>0</v>
      </c>
      <c r="AY16" s="2"/>
      <c r="AZ16" s="2"/>
      <c r="BA16" s="2"/>
    </row>
    <row r="17" spans="2:53" ht="18.75" x14ac:dyDescent="0.25">
      <c r="B17" s="246"/>
      <c r="C17" s="96" t="s">
        <v>76</v>
      </c>
      <c r="D17" s="102"/>
      <c r="E17" s="105">
        <v>1</v>
      </c>
      <c r="F17" s="101">
        <v>0</v>
      </c>
      <c r="G17" s="101">
        <v>0</v>
      </c>
      <c r="H17" s="101">
        <v>0</v>
      </c>
      <c r="I17" s="12"/>
      <c r="J17" s="196"/>
      <c r="K17" s="120">
        <f t="shared" si="59"/>
        <v>0</v>
      </c>
      <c r="L17" s="116">
        <f t="shared" si="2"/>
        <v>0</v>
      </c>
      <c r="M17" s="110">
        <f t="shared" si="60"/>
        <v>2.1999999999999999E-2</v>
      </c>
      <c r="N17" s="127">
        <f t="shared" si="61"/>
        <v>0</v>
      </c>
      <c r="O17" s="128">
        <f t="shared" si="4"/>
        <v>0</v>
      </c>
      <c r="P17" s="129">
        <f t="shared" si="62"/>
        <v>0</v>
      </c>
      <c r="Q17" s="127">
        <f t="shared" si="63"/>
        <v>0</v>
      </c>
      <c r="R17" s="128">
        <f t="shared" si="7"/>
        <v>0</v>
      </c>
      <c r="S17" s="129">
        <f t="shared" si="64"/>
        <v>0</v>
      </c>
      <c r="T17" s="130">
        <f t="shared" si="65"/>
        <v>0</v>
      </c>
      <c r="U17" s="147">
        <f t="shared" si="66"/>
        <v>2.4E-2</v>
      </c>
      <c r="W17" s="68"/>
      <c r="X17" s="155">
        <v>1.4999999999999999E-2</v>
      </c>
      <c r="Y17" s="156">
        <v>1.7999999999999999E-2</v>
      </c>
      <c r="Z17" s="156">
        <v>0.01</v>
      </c>
      <c r="AA17" s="156">
        <v>2.1999999999999999E-2</v>
      </c>
      <c r="AB17" s="157">
        <v>2.8000000000000001E-2</v>
      </c>
      <c r="AD17" s="73">
        <f t="shared" si="67"/>
        <v>2.5000000000000001E-2</v>
      </c>
      <c r="AE17" s="74">
        <f t="shared" si="68"/>
        <v>2.7999999999999997E-2</v>
      </c>
      <c r="AF17" s="74">
        <v>2.4E-2</v>
      </c>
      <c r="AG17" s="74">
        <v>2.4E-2</v>
      </c>
      <c r="AH17" s="75">
        <f t="shared" si="69"/>
        <v>3.7999999999999999E-2</v>
      </c>
      <c r="AJ17" s="161">
        <v>0</v>
      </c>
      <c r="AK17" s="359">
        <f t="shared" si="37"/>
        <v>1</v>
      </c>
      <c r="AL17" s="72" t="str">
        <f t="shared" si="22"/>
        <v>H</v>
      </c>
      <c r="AM17" s="166">
        <f t="shared" si="38"/>
        <v>0</v>
      </c>
      <c r="AN17" s="167">
        <f t="shared" si="39"/>
        <v>0</v>
      </c>
      <c r="AO17" s="167">
        <f t="shared" si="40"/>
        <v>0</v>
      </c>
      <c r="AP17" s="167">
        <f t="shared" si="41"/>
        <v>0</v>
      </c>
      <c r="AQ17" s="168">
        <f t="shared" si="42"/>
        <v>0</v>
      </c>
      <c r="AY17" s="2"/>
      <c r="AZ17" s="2"/>
      <c r="BA17" s="2"/>
    </row>
    <row r="18" spans="2:53" ht="18.75" x14ac:dyDescent="0.25">
      <c r="B18" s="246"/>
      <c r="C18" s="96" t="s">
        <v>77</v>
      </c>
      <c r="D18" s="102"/>
      <c r="E18" s="105">
        <v>1</v>
      </c>
      <c r="F18" s="101">
        <v>0</v>
      </c>
      <c r="G18" s="101">
        <v>0</v>
      </c>
      <c r="H18" s="101">
        <v>0</v>
      </c>
      <c r="I18" s="12"/>
      <c r="J18" s="196"/>
      <c r="K18" s="120">
        <f t="shared" si="59"/>
        <v>0</v>
      </c>
      <c r="L18" s="116">
        <f t="shared" si="2"/>
        <v>0</v>
      </c>
      <c r="M18" s="110">
        <f t="shared" si="60"/>
        <v>0.02</v>
      </c>
      <c r="N18" s="127">
        <f t="shared" si="61"/>
        <v>0</v>
      </c>
      <c r="O18" s="128">
        <f t="shared" si="4"/>
        <v>0</v>
      </c>
      <c r="P18" s="129">
        <f t="shared" si="62"/>
        <v>0</v>
      </c>
      <c r="Q18" s="127">
        <f t="shared" si="63"/>
        <v>0</v>
      </c>
      <c r="R18" s="128">
        <f t="shared" si="7"/>
        <v>0</v>
      </c>
      <c r="S18" s="129">
        <f t="shared" si="64"/>
        <v>0</v>
      </c>
      <c r="T18" s="130">
        <f t="shared" si="65"/>
        <v>0</v>
      </c>
      <c r="U18" s="147">
        <f t="shared" si="66"/>
        <v>2.5999999999999999E-2</v>
      </c>
      <c r="W18" s="68"/>
      <c r="X18" s="155">
        <v>1.4999999999999999E-2</v>
      </c>
      <c r="Y18" s="156">
        <v>1.7999999999999999E-2</v>
      </c>
      <c r="Z18" s="156">
        <v>2.0799999999999999E-2</v>
      </c>
      <c r="AA18" s="156">
        <v>0.02</v>
      </c>
      <c r="AB18" s="157">
        <v>2.8000000000000001E-2</v>
      </c>
      <c r="AD18" s="73">
        <f t="shared" si="67"/>
        <v>2.5000000000000001E-2</v>
      </c>
      <c r="AE18" s="74">
        <f t="shared" si="68"/>
        <v>2.7999999999999997E-2</v>
      </c>
      <c r="AF18" s="74">
        <v>2.4E-2</v>
      </c>
      <c r="AG18" s="74">
        <v>2.5999999999999999E-2</v>
      </c>
      <c r="AH18" s="75">
        <f t="shared" si="69"/>
        <v>3.7999999999999999E-2</v>
      </c>
      <c r="AJ18" s="161">
        <v>0</v>
      </c>
      <c r="AK18" s="359">
        <f t="shared" si="37"/>
        <v>1</v>
      </c>
      <c r="AL18" s="72" t="str">
        <f t="shared" si="22"/>
        <v>I</v>
      </c>
      <c r="AM18" s="166">
        <f t="shared" si="38"/>
        <v>0</v>
      </c>
      <c r="AN18" s="167">
        <f t="shared" si="39"/>
        <v>0</v>
      </c>
      <c r="AO18" s="167">
        <f t="shared" si="40"/>
        <v>0</v>
      </c>
      <c r="AP18" s="167">
        <f t="shared" si="41"/>
        <v>0</v>
      </c>
      <c r="AQ18" s="168">
        <f t="shared" si="42"/>
        <v>0</v>
      </c>
      <c r="AY18" s="2"/>
      <c r="AZ18" s="2"/>
      <c r="BA18" s="2"/>
    </row>
    <row r="19" spans="2:53" ht="18.75" x14ac:dyDescent="0.25">
      <c r="B19" s="246"/>
      <c r="C19" s="96" t="s">
        <v>78</v>
      </c>
      <c r="D19" s="106"/>
      <c r="E19" s="198">
        <v>1</v>
      </c>
      <c r="F19" s="107">
        <v>0</v>
      </c>
      <c r="G19" s="107">
        <v>0</v>
      </c>
      <c r="H19" s="107">
        <v>0</v>
      </c>
      <c r="I19" s="199"/>
      <c r="J19" s="200"/>
      <c r="K19" s="120">
        <f t="shared" si="59"/>
        <v>0</v>
      </c>
      <c r="L19" s="116">
        <f t="shared" si="2"/>
        <v>0</v>
      </c>
      <c r="M19" s="110">
        <f t="shared" si="60"/>
        <v>0.04</v>
      </c>
      <c r="N19" s="127">
        <f t="shared" si="61"/>
        <v>0</v>
      </c>
      <c r="O19" s="128">
        <f t="shared" si="4"/>
        <v>0</v>
      </c>
      <c r="P19" s="129">
        <f t="shared" si="62"/>
        <v>0</v>
      </c>
      <c r="Q19" s="127">
        <f t="shared" si="63"/>
        <v>0</v>
      </c>
      <c r="R19" s="128">
        <f t="shared" si="7"/>
        <v>0</v>
      </c>
      <c r="S19" s="129">
        <f t="shared" si="64"/>
        <v>0</v>
      </c>
      <c r="T19" s="130">
        <f t="shared" si="65"/>
        <v>0</v>
      </c>
      <c r="U19" s="147">
        <f t="shared" si="66"/>
        <v>0.04</v>
      </c>
      <c r="V19" s="76"/>
      <c r="W19" s="68"/>
      <c r="X19" s="155">
        <v>1.4999999999999999E-2</v>
      </c>
      <c r="Y19" s="156">
        <v>1.7999999999999999E-2</v>
      </c>
      <c r="Z19" s="156">
        <v>3.5000000000000003E-2</v>
      </c>
      <c r="AA19" s="156">
        <v>0.04</v>
      </c>
      <c r="AB19" s="157">
        <v>2.8000000000000001E-2</v>
      </c>
      <c r="AD19" s="73">
        <f t="shared" si="67"/>
        <v>2.5000000000000001E-2</v>
      </c>
      <c r="AE19" s="74">
        <f t="shared" si="68"/>
        <v>2.7999999999999997E-2</v>
      </c>
      <c r="AF19" s="74">
        <v>4.2999999999999997E-2</v>
      </c>
      <c r="AG19" s="74">
        <v>0.04</v>
      </c>
      <c r="AH19" s="75">
        <f t="shared" si="69"/>
        <v>3.7999999999999999E-2</v>
      </c>
      <c r="AJ19" s="161">
        <v>0</v>
      </c>
      <c r="AK19" s="359">
        <f t="shared" si="37"/>
        <v>1</v>
      </c>
      <c r="AL19" s="72" t="str">
        <f t="shared" si="22"/>
        <v>J</v>
      </c>
      <c r="AM19" s="166">
        <f t="shared" si="38"/>
        <v>0</v>
      </c>
      <c r="AN19" s="167">
        <f t="shared" si="39"/>
        <v>0</v>
      </c>
      <c r="AO19" s="167">
        <f t="shared" si="40"/>
        <v>0</v>
      </c>
      <c r="AP19" s="167">
        <f t="shared" si="41"/>
        <v>0</v>
      </c>
      <c r="AQ19" s="168">
        <f t="shared" si="42"/>
        <v>0</v>
      </c>
      <c r="AY19" s="2"/>
      <c r="AZ19" s="2"/>
      <c r="BA19" s="2"/>
    </row>
    <row r="20" spans="2:53" ht="15" customHeight="1" x14ac:dyDescent="0.25">
      <c r="B20" s="256" t="s">
        <v>87</v>
      </c>
      <c r="C20" s="97"/>
      <c r="D20" s="102" t="s">
        <v>2</v>
      </c>
      <c r="E20" s="105">
        <v>3</v>
      </c>
      <c r="F20" s="101">
        <f>43+25+45+61</f>
        <v>174</v>
      </c>
      <c r="G20" s="101">
        <v>240</v>
      </c>
      <c r="H20" s="101">
        <v>0</v>
      </c>
      <c r="I20" s="108" t="s">
        <v>54</v>
      </c>
      <c r="J20" s="357">
        <f t="shared" ref="J20:J24" si="70">SUMPRODUCT((I20=$C$10:$C$19)*($S$10:$S$19))</f>
        <v>242.39999999999998</v>
      </c>
      <c r="K20" s="193">
        <f t="shared" si="18"/>
        <v>83937.599999999991</v>
      </c>
      <c r="L20" s="115">
        <f t="shared" si="2"/>
        <v>1.0129501468277378E-2</v>
      </c>
      <c r="M20" s="109">
        <f>SUMPRODUCT(($M$9=$X$9:$AB$9)*(X20:AB20))</f>
        <v>0.16</v>
      </c>
      <c r="N20" s="123">
        <f t="shared" si="3"/>
        <v>13430.016</v>
      </c>
      <c r="O20" s="124">
        <f t="shared" si="4"/>
        <v>6.418821243890159E-2</v>
      </c>
      <c r="P20" s="125">
        <f t="shared" si="5"/>
        <v>77.183999999999997</v>
      </c>
      <c r="Q20" s="123">
        <f>K20*U20</f>
        <v>97367.61599999998</v>
      </c>
      <c r="R20" s="124">
        <f t="shared" si="7"/>
        <v>0.15023601248251486</v>
      </c>
      <c r="S20" s="125">
        <f t="shared" si="47"/>
        <v>559.58399999999983</v>
      </c>
      <c r="T20" s="126">
        <f t="shared" si="19"/>
        <v>0.13793103448275865</v>
      </c>
      <c r="U20" s="146">
        <f>SUMPRODUCT(($M$9=$AD$9:$AH$9)*(AD20:AH20))</f>
        <v>1.1599999999999999</v>
      </c>
      <c r="V20" s="77"/>
      <c r="W20" s="77"/>
      <c r="X20" s="152">
        <v>-0.4</v>
      </c>
      <c r="Y20" s="153">
        <v>0.15</v>
      </c>
      <c r="Z20" s="153">
        <v>0.1</v>
      </c>
      <c r="AA20" s="153">
        <v>0.16</v>
      </c>
      <c r="AB20" s="154">
        <v>0.5</v>
      </c>
      <c r="AD20" s="69">
        <f>X20+1</f>
        <v>0.6</v>
      </c>
      <c r="AE20" s="70">
        <f t="shared" ref="AE20:AE24" si="71">Y20+1</f>
        <v>1.1499999999999999</v>
      </c>
      <c r="AF20" s="70">
        <f t="shared" ref="AF20:AG24" si="72">Z20+1</f>
        <v>1.1000000000000001</v>
      </c>
      <c r="AG20" s="70">
        <f t="shared" si="72"/>
        <v>1.1599999999999999</v>
      </c>
      <c r="AH20" s="71">
        <f t="shared" ref="AH20:AH24" si="73">AB20+1</f>
        <v>1.5</v>
      </c>
      <c r="AJ20" s="161">
        <v>0</v>
      </c>
      <c r="AK20" s="359">
        <f t="shared" si="11"/>
        <v>1</v>
      </c>
      <c r="AM20" s="169">
        <f t="shared" ref="AM20:AQ24" si="74">SUMPRODUCT(($I20=$AL$10:$AL$19)*(AM$10:AM$19))*$F20</f>
        <v>35148</v>
      </c>
      <c r="AN20" s="170">
        <f t="shared" si="74"/>
        <v>39365.759999999995</v>
      </c>
      <c r="AO20" s="170">
        <f t="shared" si="74"/>
        <v>35148</v>
      </c>
      <c r="AP20" s="170">
        <f t="shared" si="74"/>
        <v>42177.599999999999</v>
      </c>
      <c r="AQ20" s="171">
        <f t="shared" si="74"/>
        <v>53424.959999999992</v>
      </c>
    </row>
    <row r="21" spans="2:53" ht="18.75" x14ac:dyDescent="0.25">
      <c r="B21" s="246"/>
      <c r="C21" s="96"/>
      <c r="D21" s="102" t="s">
        <v>13</v>
      </c>
      <c r="E21" s="105">
        <v>3</v>
      </c>
      <c r="F21" s="101">
        <f>37+32+29</f>
        <v>98</v>
      </c>
      <c r="G21" s="101">
        <v>352</v>
      </c>
      <c r="H21" s="101">
        <v>0</v>
      </c>
      <c r="I21" s="108" t="s">
        <v>54</v>
      </c>
      <c r="J21" s="357">
        <f t="shared" si="70"/>
        <v>242.39999999999998</v>
      </c>
      <c r="K21" s="120">
        <f t="shared" si="18"/>
        <v>58251.199999999997</v>
      </c>
      <c r="L21" s="116">
        <f t="shared" si="2"/>
        <v>7.0296936763610011E-3</v>
      </c>
      <c r="M21" s="110">
        <f>SUMPRODUCT(($M$9=$X$9:$AB$9)*(X21:AB21))</f>
        <v>0.16</v>
      </c>
      <c r="N21" s="127">
        <f t="shared" si="3"/>
        <v>9320.1919999999991</v>
      </c>
      <c r="O21" s="128">
        <f t="shared" si="4"/>
        <v>4.4545476644804523E-2</v>
      </c>
      <c r="P21" s="129">
        <f t="shared" si="5"/>
        <v>95.103999999999985</v>
      </c>
      <c r="Q21" s="127">
        <f t="shared" ref="Q21:Q48" si="75">K21*U21</f>
        <v>67571.391999999993</v>
      </c>
      <c r="R21" s="128">
        <f t="shared" si="7"/>
        <v>0.10426111790569983</v>
      </c>
      <c r="S21" s="129">
        <f t="shared" si="47"/>
        <v>689.50399999999991</v>
      </c>
      <c r="T21" s="130">
        <f t="shared" si="19"/>
        <v>0.13793103448275862</v>
      </c>
      <c r="U21" s="147">
        <f>SUMPRODUCT(($M$9=$AD$9:$AH$9)*(AD21:AH21))</f>
        <v>1.1599999999999999</v>
      </c>
      <c r="V21" s="77"/>
      <c r="X21" s="155">
        <v>-0.4</v>
      </c>
      <c r="Y21" s="156">
        <v>0.12</v>
      </c>
      <c r="Z21" s="156">
        <v>0.15</v>
      </c>
      <c r="AA21" s="156">
        <v>0.16</v>
      </c>
      <c r="AB21" s="157">
        <v>0.5</v>
      </c>
      <c r="AD21" s="73">
        <f t="shared" ref="AD21:AD24" si="76">X21+1</f>
        <v>0.6</v>
      </c>
      <c r="AE21" s="74">
        <f t="shared" si="71"/>
        <v>1.1200000000000001</v>
      </c>
      <c r="AF21" s="74">
        <f t="shared" si="72"/>
        <v>1.1499999999999999</v>
      </c>
      <c r="AG21" s="74">
        <f t="shared" si="72"/>
        <v>1.1599999999999999</v>
      </c>
      <c r="AH21" s="75">
        <f t="shared" si="73"/>
        <v>1.5</v>
      </c>
      <c r="AJ21" s="161">
        <v>0</v>
      </c>
      <c r="AK21" s="359">
        <f t="shared" si="11"/>
        <v>1</v>
      </c>
      <c r="AM21" s="166">
        <f t="shared" si="74"/>
        <v>19796</v>
      </c>
      <c r="AN21" s="167">
        <f t="shared" si="74"/>
        <v>22171.519999999997</v>
      </c>
      <c r="AO21" s="167">
        <f t="shared" si="74"/>
        <v>19796</v>
      </c>
      <c r="AP21" s="167">
        <f t="shared" si="74"/>
        <v>23755.199999999997</v>
      </c>
      <c r="AQ21" s="168">
        <f t="shared" si="74"/>
        <v>30089.919999999998</v>
      </c>
    </row>
    <row r="22" spans="2:53" ht="18.75" x14ac:dyDescent="0.25">
      <c r="B22" s="246"/>
      <c r="C22" s="96"/>
      <c r="D22" s="102" t="s">
        <v>1</v>
      </c>
      <c r="E22" s="105">
        <v>3</v>
      </c>
      <c r="F22" s="101">
        <v>54</v>
      </c>
      <c r="G22" s="101">
        <v>270</v>
      </c>
      <c r="H22" s="101">
        <v>0</v>
      </c>
      <c r="I22" s="108" t="s">
        <v>54</v>
      </c>
      <c r="J22" s="357">
        <f t="shared" si="70"/>
        <v>242.39999999999998</v>
      </c>
      <c r="K22" s="120">
        <f t="shared" si="18"/>
        <v>27669.599999999999</v>
      </c>
      <c r="L22" s="116">
        <f t="shared" si="2"/>
        <v>3.3391382863775915E-3</v>
      </c>
      <c r="M22" s="110">
        <f>SUMPRODUCT(($M$9=$X$9:$AB$9)*(X22:AB22))</f>
        <v>0.16</v>
      </c>
      <c r="N22" s="127">
        <f t="shared" si="3"/>
        <v>4427.1359999999995</v>
      </c>
      <c r="O22" s="128">
        <f t="shared" si="4"/>
        <v>2.1159315526050677E-2</v>
      </c>
      <c r="P22" s="129">
        <f t="shared" si="5"/>
        <v>81.983999999999995</v>
      </c>
      <c r="Q22" s="127">
        <f t="shared" si="75"/>
        <v>32096.735999999997</v>
      </c>
      <c r="R22" s="128">
        <f t="shared" si="7"/>
        <v>4.9524532164205243E-2</v>
      </c>
      <c r="S22" s="129">
        <f t="shared" si="47"/>
        <v>594.3839999999999</v>
      </c>
      <c r="T22" s="130">
        <f t="shared" si="19"/>
        <v>0.13793103448275862</v>
      </c>
      <c r="U22" s="147">
        <f>SUMPRODUCT(($M$9=$AD$9:$AH$9)*(AD22:AH22))</f>
        <v>1.1599999999999999</v>
      </c>
      <c r="V22" s="77"/>
      <c r="X22" s="155">
        <v>-0.4</v>
      </c>
      <c r="Y22" s="156">
        <v>0.12</v>
      </c>
      <c r="Z22" s="156">
        <v>0.3</v>
      </c>
      <c r="AA22" s="156">
        <v>0.16</v>
      </c>
      <c r="AB22" s="157">
        <v>0.5</v>
      </c>
      <c r="AD22" s="73">
        <f t="shared" si="76"/>
        <v>0.6</v>
      </c>
      <c r="AE22" s="74">
        <f t="shared" si="71"/>
        <v>1.1200000000000001</v>
      </c>
      <c r="AF22" s="74">
        <f t="shared" si="72"/>
        <v>1.3</v>
      </c>
      <c r="AG22" s="74">
        <f t="shared" si="72"/>
        <v>1.1599999999999999</v>
      </c>
      <c r="AH22" s="75">
        <f t="shared" si="73"/>
        <v>1.5</v>
      </c>
      <c r="AJ22" s="161">
        <v>0</v>
      </c>
      <c r="AK22" s="359">
        <f t="shared" si="11"/>
        <v>1</v>
      </c>
      <c r="AM22" s="166">
        <f t="shared" si="74"/>
        <v>10908</v>
      </c>
      <c r="AN22" s="167">
        <f t="shared" si="74"/>
        <v>12216.959999999997</v>
      </c>
      <c r="AO22" s="167">
        <f t="shared" si="74"/>
        <v>10908</v>
      </c>
      <c r="AP22" s="167">
        <f t="shared" si="74"/>
        <v>13089.599999999999</v>
      </c>
      <c r="AQ22" s="168">
        <f t="shared" si="74"/>
        <v>16580.159999999996</v>
      </c>
    </row>
    <row r="23" spans="2:53" ht="18.75" x14ac:dyDescent="0.25">
      <c r="B23" s="246"/>
      <c r="C23" s="96"/>
      <c r="D23" s="102" t="s">
        <v>3</v>
      </c>
      <c r="E23" s="105">
        <v>3</v>
      </c>
      <c r="F23" s="101">
        <v>113</v>
      </c>
      <c r="G23" s="101">
        <v>270.66000000000003</v>
      </c>
      <c r="H23" s="101">
        <v>0</v>
      </c>
      <c r="I23" s="108" t="s">
        <v>54</v>
      </c>
      <c r="J23" s="357">
        <f t="shared" si="70"/>
        <v>242.39999999999998</v>
      </c>
      <c r="K23" s="120">
        <f t="shared" si="18"/>
        <v>57975.779999999992</v>
      </c>
      <c r="L23" s="116">
        <f t="shared" si="2"/>
        <v>6.996456279837953E-3</v>
      </c>
      <c r="M23" s="110">
        <f>SUMPRODUCT(($M$9=$X$9:$AB$9)*(X23:AB23))</f>
        <v>0.16</v>
      </c>
      <c r="N23" s="127">
        <f t="shared" si="3"/>
        <v>9276.1247999999996</v>
      </c>
      <c r="O23" s="128">
        <f t="shared" si="4"/>
        <v>4.4334859263917739E-2</v>
      </c>
      <c r="P23" s="129">
        <f t="shared" si="5"/>
        <v>82.08959999999999</v>
      </c>
      <c r="Q23" s="127">
        <f t="shared" si="75"/>
        <v>67251.904799999989</v>
      </c>
      <c r="R23" s="128">
        <f t="shared" si="7"/>
        <v>0.10376815643720498</v>
      </c>
      <c r="S23" s="129">
        <f t="shared" si="47"/>
        <v>595.14959999999985</v>
      </c>
      <c r="T23" s="130">
        <f t="shared" si="19"/>
        <v>0.13793103448275865</v>
      </c>
      <c r="U23" s="147">
        <f>SUMPRODUCT(($M$9=$AD$9:$AH$9)*(AD23:AH23))</f>
        <v>1.1599999999999999</v>
      </c>
      <c r="V23" s="77"/>
      <c r="X23" s="155">
        <v>-0.4</v>
      </c>
      <c r="Y23" s="156">
        <v>0.15</v>
      </c>
      <c r="Z23" s="156">
        <v>0.2</v>
      </c>
      <c r="AA23" s="156">
        <v>0.16</v>
      </c>
      <c r="AB23" s="157">
        <v>0.6</v>
      </c>
      <c r="AD23" s="73">
        <f t="shared" si="76"/>
        <v>0.6</v>
      </c>
      <c r="AE23" s="74">
        <f t="shared" si="71"/>
        <v>1.1499999999999999</v>
      </c>
      <c r="AF23" s="74">
        <f t="shared" si="72"/>
        <v>1.2</v>
      </c>
      <c r="AG23" s="74">
        <f t="shared" si="72"/>
        <v>1.1599999999999999</v>
      </c>
      <c r="AH23" s="75">
        <f t="shared" si="73"/>
        <v>1.6</v>
      </c>
      <c r="AJ23" s="161">
        <v>0</v>
      </c>
      <c r="AK23" s="359">
        <f t="shared" si="11"/>
        <v>1</v>
      </c>
      <c r="AM23" s="166">
        <f t="shared" si="74"/>
        <v>22826</v>
      </c>
      <c r="AN23" s="167">
        <f t="shared" si="74"/>
        <v>25565.119999999995</v>
      </c>
      <c r="AO23" s="167">
        <f t="shared" si="74"/>
        <v>22826</v>
      </c>
      <c r="AP23" s="167">
        <f t="shared" si="74"/>
        <v>27391.199999999997</v>
      </c>
      <c r="AQ23" s="168">
        <f t="shared" si="74"/>
        <v>34695.519999999997</v>
      </c>
    </row>
    <row r="24" spans="2:53" ht="18.75" x14ac:dyDescent="0.25">
      <c r="B24" s="275"/>
      <c r="C24" s="98"/>
      <c r="D24" s="106" t="s">
        <v>33</v>
      </c>
      <c r="E24" s="198">
        <v>3</v>
      </c>
      <c r="F24" s="107">
        <v>103</v>
      </c>
      <c r="G24" s="107">
        <v>253</v>
      </c>
      <c r="H24" s="107">
        <v>0</v>
      </c>
      <c r="I24" s="201" t="s">
        <v>54</v>
      </c>
      <c r="J24" s="358">
        <f t="shared" si="70"/>
        <v>242.39999999999998</v>
      </c>
      <c r="K24" s="194">
        <f t="shared" si="18"/>
        <v>51026.2</v>
      </c>
      <c r="L24" s="117">
        <f t="shared" si="2"/>
        <v>6.1577882596192306E-3</v>
      </c>
      <c r="M24" s="111">
        <f>SUMPRODUCT(($M$9=$X$9:$AB$9)*(X24:AB24))</f>
        <v>0.16</v>
      </c>
      <c r="N24" s="131">
        <f t="shared" si="3"/>
        <v>8164.192</v>
      </c>
      <c r="O24" s="132">
        <f t="shared" si="4"/>
        <v>3.9020421903293405E-2</v>
      </c>
      <c r="P24" s="133">
        <f t="shared" si="5"/>
        <v>79.263999999999996</v>
      </c>
      <c r="Q24" s="131">
        <f t="shared" si="75"/>
        <v>59190.391999999993</v>
      </c>
      <c r="R24" s="132">
        <f t="shared" si="7"/>
        <v>9.1329425908476064E-2</v>
      </c>
      <c r="S24" s="133">
        <f t="shared" si="47"/>
        <v>574.66399999999987</v>
      </c>
      <c r="T24" s="134">
        <f t="shared" si="19"/>
        <v>0.13793103448275865</v>
      </c>
      <c r="U24" s="148">
        <f>SUMPRODUCT(($M$9=$AD$9:$AH$9)*(AD24:AH24))</f>
        <v>1.1599999999999999</v>
      </c>
      <c r="V24" s="77"/>
      <c r="X24" s="155">
        <v>-0.4</v>
      </c>
      <c r="Y24" s="156">
        <v>0.15</v>
      </c>
      <c r="Z24" s="156">
        <v>0.2</v>
      </c>
      <c r="AA24" s="156">
        <v>0.16</v>
      </c>
      <c r="AB24" s="157">
        <v>0.6</v>
      </c>
      <c r="AD24" s="73">
        <f t="shared" si="76"/>
        <v>0.6</v>
      </c>
      <c r="AE24" s="74">
        <f t="shared" si="71"/>
        <v>1.1499999999999999</v>
      </c>
      <c r="AF24" s="74">
        <f t="shared" si="72"/>
        <v>1.2</v>
      </c>
      <c r="AG24" s="74">
        <f t="shared" si="72"/>
        <v>1.1599999999999999</v>
      </c>
      <c r="AH24" s="75">
        <f t="shared" si="73"/>
        <v>1.6</v>
      </c>
      <c r="AJ24" s="161">
        <v>0</v>
      </c>
      <c r="AK24" s="359">
        <f t="shared" si="11"/>
        <v>1</v>
      </c>
      <c r="AM24" s="172">
        <f t="shared" si="74"/>
        <v>20806</v>
      </c>
      <c r="AN24" s="173">
        <f t="shared" si="74"/>
        <v>23302.719999999994</v>
      </c>
      <c r="AO24" s="173">
        <f t="shared" si="74"/>
        <v>20806</v>
      </c>
      <c r="AP24" s="173">
        <f t="shared" si="74"/>
        <v>24967.199999999997</v>
      </c>
      <c r="AQ24" s="174">
        <f t="shared" si="74"/>
        <v>31625.119999999995</v>
      </c>
    </row>
    <row r="25" spans="2:53" ht="18.75" x14ac:dyDescent="0.25">
      <c r="B25" s="256" t="s">
        <v>50</v>
      </c>
      <c r="C25" s="97"/>
      <c r="D25" s="102" t="s">
        <v>35</v>
      </c>
      <c r="E25" s="105">
        <v>1</v>
      </c>
      <c r="F25" s="101">
        <f>408+F13</f>
        <v>464</v>
      </c>
      <c r="G25" s="101">
        <f>18400/F25+(24004*1.45/60*14+11740*12/60)/F25+50</f>
        <v>112.21843390804597</v>
      </c>
      <c r="H25" s="101">
        <f>480*28000/60/F25</f>
        <v>482.75862068965517</v>
      </c>
      <c r="I25" s="108" t="s">
        <v>52</v>
      </c>
      <c r="J25" s="357">
        <f>SUMPRODUCT((I25=$C$10:$C$19)*($S$10:$S$19))</f>
        <v>48.48</v>
      </c>
      <c r="K25" s="193">
        <f t="shared" si="18"/>
        <v>298564.0733333333</v>
      </c>
      <c r="L25" s="115">
        <f t="shared" si="2"/>
        <v>3.6030399001220841E-2</v>
      </c>
      <c r="M25" s="109">
        <f t="shared" ref="M25:M34" si="77">SUMPRODUCT(($M$9=$X$9:$AB$9)*(X25:AB25))</f>
        <v>0.03</v>
      </c>
      <c r="N25" s="123">
        <f t="shared" si="3"/>
        <v>8956.9221999999991</v>
      </c>
      <c r="O25" s="124">
        <f t="shared" si="4"/>
        <v>4.2809243486553829E-2</v>
      </c>
      <c r="P25" s="125">
        <f t="shared" si="5"/>
        <v>19.303711637931034</v>
      </c>
      <c r="Q25" s="123">
        <f t="shared" si="75"/>
        <v>74641.018333333326</v>
      </c>
      <c r="R25" s="124">
        <f t="shared" si="7"/>
        <v>0.11516939022142936</v>
      </c>
      <c r="S25" s="125">
        <f t="shared" si="47"/>
        <v>160.86426364942528</v>
      </c>
      <c r="T25" s="126">
        <f t="shared" si="19"/>
        <v>0.12</v>
      </c>
      <c r="U25" s="146">
        <f t="shared" ref="U25:U29" si="78">SUMPRODUCT(($M$9=$AD$9:$AH$9)*(AD25:AH25))</f>
        <v>0.25</v>
      </c>
      <c r="V25" s="68"/>
      <c r="W25" s="78"/>
      <c r="X25" s="152">
        <v>-0.05</v>
      </c>
      <c r="Y25" s="153">
        <v>0.01</v>
      </c>
      <c r="Z25" s="153">
        <v>0.01</v>
      </c>
      <c r="AA25" s="153">
        <v>0.03</v>
      </c>
      <c r="AB25" s="154">
        <v>0.06</v>
      </c>
      <c r="AD25" s="69">
        <v>0.25</v>
      </c>
      <c r="AE25" s="70">
        <v>0.25</v>
      </c>
      <c r="AF25" s="70">
        <v>0.3</v>
      </c>
      <c r="AG25" s="70">
        <v>0.25</v>
      </c>
      <c r="AH25" s="71">
        <v>0.25</v>
      </c>
      <c r="AJ25" s="161">
        <v>1</v>
      </c>
      <c r="AK25" s="359">
        <f t="shared" si="11"/>
        <v>0</v>
      </c>
      <c r="AM25" s="169">
        <f t="shared" ref="AM25:AQ40" si="79">SUMPRODUCT(($I25=$AL$10:$AL$19)*(AM$10:AM$19))*$F25</f>
        <v>26243.839999999993</v>
      </c>
      <c r="AN25" s="170">
        <f t="shared" si="79"/>
        <v>28118.400000000001</v>
      </c>
      <c r="AO25" s="170">
        <f t="shared" si="79"/>
        <v>21557.439999999999</v>
      </c>
      <c r="AP25" s="170">
        <f t="shared" si="79"/>
        <v>22494.719999999998</v>
      </c>
      <c r="AQ25" s="171">
        <f t="shared" si="79"/>
        <v>35616.639999999999</v>
      </c>
    </row>
    <row r="26" spans="2:53" ht="18.75" x14ac:dyDescent="0.25">
      <c r="B26" s="246"/>
      <c r="C26" s="96"/>
      <c r="D26" s="102" t="s">
        <v>83</v>
      </c>
      <c r="E26" s="105">
        <v>2</v>
      </c>
      <c r="F26" s="101">
        <f>F11</f>
        <v>316</v>
      </c>
      <c r="G26" s="101">
        <f>+(17916*1.45/60*14+11740*12/60)/F26+200+((240*180*75/60)+(240*170*70/60))/F26</f>
        <v>548.13158227848101</v>
      </c>
      <c r="H26" s="101">
        <v>0</v>
      </c>
      <c r="I26" s="108" t="s">
        <v>53</v>
      </c>
      <c r="J26" s="357">
        <f>SUMPRODUCT((I26=$C$10:$C$19)*($S$10:$S$19))</f>
        <v>116.35200000000002</v>
      </c>
      <c r="K26" s="120">
        <f t="shared" si="18"/>
        <v>209976.81199999998</v>
      </c>
      <c r="L26" s="116">
        <f t="shared" si="2"/>
        <v>2.5339781283455837E-2</v>
      </c>
      <c r="M26" s="110">
        <f t="shared" si="77"/>
        <v>0.1</v>
      </c>
      <c r="N26" s="127">
        <f t="shared" si="3"/>
        <v>20997.681199999999</v>
      </c>
      <c r="O26" s="128">
        <f t="shared" si="4"/>
        <v>0.10035755888823439</v>
      </c>
      <c r="P26" s="129">
        <f t="shared" si="5"/>
        <v>66.448358227848104</v>
      </c>
      <c r="Q26" s="127">
        <f t="shared" si="75"/>
        <v>230974.4932</v>
      </c>
      <c r="R26" s="128">
        <f t="shared" si="7"/>
        <v>0.35638837910479138</v>
      </c>
      <c r="S26" s="129">
        <f t="shared" si="47"/>
        <v>730.93194050632906</v>
      </c>
      <c r="T26" s="130">
        <f t="shared" si="19"/>
        <v>9.0909090909090912E-2</v>
      </c>
      <c r="U26" s="147">
        <f t="shared" si="78"/>
        <v>1.1000000000000001</v>
      </c>
      <c r="V26" s="78"/>
      <c r="W26" s="78"/>
      <c r="X26" s="155">
        <v>-0.15</v>
      </c>
      <c r="Y26" s="156">
        <v>0.06</v>
      </c>
      <c r="Z26" s="156">
        <v>0.06</v>
      </c>
      <c r="AA26" s="156">
        <v>0.1</v>
      </c>
      <c r="AB26" s="157">
        <v>0.16</v>
      </c>
      <c r="AD26" s="73">
        <f>1+X26</f>
        <v>0.85</v>
      </c>
      <c r="AE26" s="74">
        <f t="shared" ref="AE26:AH26" si="80">1+Y26</f>
        <v>1.06</v>
      </c>
      <c r="AF26" s="74">
        <f t="shared" si="80"/>
        <v>1.06</v>
      </c>
      <c r="AG26" s="74">
        <f t="shared" si="80"/>
        <v>1.1000000000000001</v>
      </c>
      <c r="AH26" s="75">
        <f t="shared" si="80"/>
        <v>1.1599999999999999</v>
      </c>
      <c r="AJ26" s="161">
        <v>1</v>
      </c>
      <c r="AK26" s="359">
        <f t="shared" si="11"/>
        <v>0</v>
      </c>
      <c r="AM26" s="166">
        <f t="shared" si="79"/>
        <v>42895.103999999992</v>
      </c>
      <c r="AN26" s="167">
        <f t="shared" si="79"/>
        <v>45959.040000000001</v>
      </c>
      <c r="AO26" s="167">
        <f t="shared" si="79"/>
        <v>0</v>
      </c>
      <c r="AP26" s="167">
        <f t="shared" si="79"/>
        <v>36767.232000000004</v>
      </c>
      <c r="AQ26" s="168">
        <f t="shared" si="79"/>
        <v>58214.784</v>
      </c>
    </row>
    <row r="27" spans="2:53" ht="18.75" x14ac:dyDescent="0.25">
      <c r="B27" s="246"/>
      <c r="C27" s="96"/>
      <c r="D27" s="102"/>
      <c r="E27" s="105">
        <v>2</v>
      </c>
      <c r="F27" s="101">
        <v>0</v>
      </c>
      <c r="G27" s="101">
        <v>0</v>
      </c>
      <c r="H27" s="101">
        <v>0</v>
      </c>
      <c r="I27" s="108" t="s">
        <v>55</v>
      </c>
      <c r="J27" s="357">
        <f>SUMPRODUCT((I27=$C$10:$C$19)*($S$10:$S$19))</f>
        <v>84.84</v>
      </c>
      <c r="K27" s="120">
        <f t="shared" si="18"/>
        <v>0</v>
      </c>
      <c r="L27" s="116">
        <f t="shared" si="2"/>
        <v>0</v>
      </c>
      <c r="M27" s="110">
        <f t="shared" si="77"/>
        <v>0.05</v>
      </c>
      <c r="N27" s="127">
        <f t="shared" si="3"/>
        <v>0</v>
      </c>
      <c r="O27" s="128">
        <f t="shared" si="4"/>
        <v>0</v>
      </c>
      <c r="P27" s="129">
        <f t="shared" si="5"/>
        <v>0</v>
      </c>
      <c r="Q27" s="127">
        <f t="shared" si="75"/>
        <v>0</v>
      </c>
      <c r="R27" s="128">
        <f t="shared" si="7"/>
        <v>0</v>
      </c>
      <c r="S27" s="129">
        <f t="shared" si="47"/>
        <v>0</v>
      </c>
      <c r="T27" s="130">
        <f t="shared" si="19"/>
        <v>0</v>
      </c>
      <c r="U27" s="147">
        <f t="shared" si="78"/>
        <v>0.25</v>
      </c>
      <c r="V27" s="78"/>
      <c r="W27" s="78"/>
      <c r="X27" s="155">
        <v>-0.05</v>
      </c>
      <c r="Y27" s="156">
        <v>0.04</v>
      </c>
      <c r="Z27" s="156">
        <v>0.06</v>
      </c>
      <c r="AA27" s="156">
        <v>0.05</v>
      </c>
      <c r="AB27" s="157">
        <v>0.06</v>
      </c>
      <c r="AD27" s="73">
        <f>X27+0.5</f>
        <v>0.45</v>
      </c>
      <c r="AE27" s="74">
        <f t="shared" ref="AE27" si="81">Y27+0.5</f>
        <v>0.54</v>
      </c>
      <c r="AF27" s="74">
        <v>0.37</v>
      </c>
      <c r="AG27" s="74">
        <v>0.25</v>
      </c>
      <c r="AH27" s="75">
        <v>0.25</v>
      </c>
      <c r="AJ27" s="161">
        <v>1</v>
      </c>
      <c r="AK27" s="359">
        <f t="shared" si="11"/>
        <v>0</v>
      </c>
      <c r="AM27" s="166">
        <f t="shared" si="79"/>
        <v>0</v>
      </c>
      <c r="AN27" s="167">
        <f t="shared" si="79"/>
        <v>0</v>
      </c>
      <c r="AO27" s="167">
        <f t="shared" si="79"/>
        <v>0</v>
      </c>
      <c r="AP27" s="167">
        <f t="shared" si="79"/>
        <v>0</v>
      </c>
      <c r="AQ27" s="168">
        <f t="shared" si="79"/>
        <v>0</v>
      </c>
    </row>
    <row r="28" spans="2:53" ht="18.75" x14ac:dyDescent="0.25">
      <c r="B28" s="246"/>
      <c r="C28" s="96"/>
      <c r="D28" s="102"/>
      <c r="E28" s="105">
        <v>2</v>
      </c>
      <c r="F28" s="101">
        <v>0</v>
      </c>
      <c r="G28" s="101">
        <v>0</v>
      </c>
      <c r="H28" s="101">
        <v>0</v>
      </c>
      <c r="I28" s="108" t="s">
        <v>76</v>
      </c>
      <c r="J28" s="357">
        <f>SUMPRODUCT((I28=$C$10:$C$19)*($S$10:$S$19))</f>
        <v>0</v>
      </c>
      <c r="K28" s="120">
        <f t="shared" si="18"/>
        <v>0</v>
      </c>
      <c r="L28" s="116">
        <f t="shared" si="2"/>
        <v>0</v>
      </c>
      <c r="M28" s="110">
        <f t="shared" si="77"/>
        <v>0.04</v>
      </c>
      <c r="N28" s="127">
        <f t="shared" si="3"/>
        <v>0</v>
      </c>
      <c r="O28" s="128">
        <f t="shared" si="4"/>
        <v>0</v>
      </c>
      <c r="P28" s="129">
        <f t="shared" si="5"/>
        <v>0</v>
      </c>
      <c r="Q28" s="127">
        <f t="shared" si="75"/>
        <v>0</v>
      </c>
      <c r="R28" s="128">
        <f t="shared" si="7"/>
        <v>0</v>
      </c>
      <c r="S28" s="129">
        <f t="shared" si="47"/>
        <v>0</v>
      </c>
      <c r="T28" s="130">
        <f t="shared" si="19"/>
        <v>0</v>
      </c>
      <c r="U28" s="147">
        <f t="shared" si="78"/>
        <v>0.25</v>
      </c>
      <c r="V28" s="68"/>
      <c r="X28" s="155">
        <v>-0.05</v>
      </c>
      <c r="Y28" s="156">
        <v>0.04</v>
      </c>
      <c r="Z28" s="156">
        <v>0.06</v>
      </c>
      <c r="AA28" s="156">
        <v>0.04</v>
      </c>
      <c r="AB28" s="157">
        <v>0.06</v>
      </c>
      <c r="AD28" s="73">
        <v>0.25</v>
      </c>
      <c r="AE28" s="74">
        <v>0.25</v>
      </c>
      <c r="AF28" s="74">
        <v>0.25</v>
      </c>
      <c r="AG28" s="74">
        <v>0.25</v>
      </c>
      <c r="AH28" s="75">
        <v>0.25</v>
      </c>
      <c r="AJ28" s="161">
        <v>1</v>
      </c>
      <c r="AK28" s="359">
        <f t="shared" si="11"/>
        <v>0</v>
      </c>
      <c r="AM28" s="166">
        <f t="shared" si="79"/>
        <v>0</v>
      </c>
      <c r="AN28" s="167">
        <f t="shared" si="79"/>
        <v>0</v>
      </c>
      <c r="AO28" s="167">
        <f t="shared" si="79"/>
        <v>0</v>
      </c>
      <c r="AP28" s="167">
        <f t="shared" si="79"/>
        <v>0</v>
      </c>
      <c r="AQ28" s="168">
        <f t="shared" si="79"/>
        <v>0</v>
      </c>
    </row>
    <row r="29" spans="2:53" ht="18.75" x14ac:dyDescent="0.25">
      <c r="B29" s="246"/>
      <c r="C29" s="96"/>
      <c r="D29" s="106"/>
      <c r="E29" s="198">
        <v>2</v>
      </c>
      <c r="F29" s="107">
        <v>0</v>
      </c>
      <c r="G29" s="107">
        <v>0</v>
      </c>
      <c r="H29" s="107">
        <v>0</v>
      </c>
      <c r="I29" s="199"/>
      <c r="J29" s="200">
        <f>SUMPRODUCT((I29=$C$10:$C$19)*($S$10:$S$19))</f>
        <v>0</v>
      </c>
      <c r="K29" s="120">
        <f t="shared" si="18"/>
        <v>0</v>
      </c>
      <c r="L29" s="116">
        <f t="shared" si="2"/>
        <v>0</v>
      </c>
      <c r="M29" s="110">
        <f t="shared" si="77"/>
        <v>0.15</v>
      </c>
      <c r="N29" s="127">
        <f t="shared" si="3"/>
        <v>0</v>
      </c>
      <c r="O29" s="128">
        <f t="shared" si="4"/>
        <v>0</v>
      </c>
      <c r="P29" s="129">
        <f t="shared" si="5"/>
        <v>0</v>
      </c>
      <c r="Q29" s="127">
        <f t="shared" si="75"/>
        <v>0</v>
      </c>
      <c r="R29" s="128">
        <f t="shared" si="7"/>
        <v>0</v>
      </c>
      <c r="S29" s="129">
        <f t="shared" si="47"/>
        <v>0</v>
      </c>
      <c r="T29" s="130">
        <f t="shared" si="19"/>
        <v>0</v>
      </c>
      <c r="U29" s="147">
        <f t="shared" si="78"/>
        <v>1.1499999999999999</v>
      </c>
      <c r="V29" s="78"/>
      <c r="W29" s="78"/>
      <c r="X29" s="155">
        <v>-0.4</v>
      </c>
      <c r="Y29" s="156">
        <v>0.2</v>
      </c>
      <c r="Z29" s="156">
        <v>0.14000000000000001</v>
      </c>
      <c r="AA29" s="156">
        <v>0.15</v>
      </c>
      <c r="AB29" s="157">
        <v>0.25</v>
      </c>
      <c r="AD29" s="73">
        <f t="shared" ref="AD29:AG29" si="82">X29+1</f>
        <v>0.6</v>
      </c>
      <c r="AE29" s="74">
        <f t="shared" si="82"/>
        <v>1.2</v>
      </c>
      <c r="AF29" s="74">
        <f t="shared" si="82"/>
        <v>1.1400000000000001</v>
      </c>
      <c r="AG29" s="74">
        <f t="shared" si="82"/>
        <v>1.1499999999999999</v>
      </c>
      <c r="AH29" s="75">
        <f>AB29+1</f>
        <v>1.25</v>
      </c>
      <c r="AJ29" s="161">
        <v>1</v>
      </c>
      <c r="AK29" s="359">
        <f t="shared" si="11"/>
        <v>0</v>
      </c>
      <c r="AM29" s="166">
        <f t="shared" si="79"/>
        <v>0</v>
      </c>
      <c r="AN29" s="167">
        <f t="shared" si="79"/>
        <v>0</v>
      </c>
      <c r="AO29" s="167">
        <f t="shared" si="79"/>
        <v>0</v>
      </c>
      <c r="AP29" s="167">
        <f t="shared" si="79"/>
        <v>0</v>
      </c>
      <c r="AQ29" s="168">
        <f t="shared" si="79"/>
        <v>0</v>
      </c>
    </row>
    <row r="30" spans="2:53" ht="18.75" x14ac:dyDescent="0.25">
      <c r="B30" s="256" t="s">
        <v>51</v>
      </c>
      <c r="C30" s="97"/>
      <c r="D30" s="102" t="s">
        <v>35</v>
      </c>
      <c r="E30" s="105">
        <v>2</v>
      </c>
      <c r="F30" s="101">
        <v>0</v>
      </c>
      <c r="G30" s="101">
        <v>0</v>
      </c>
      <c r="H30" s="101">
        <v>0</v>
      </c>
      <c r="I30" s="12"/>
      <c r="J30" s="197"/>
      <c r="K30" s="193">
        <f t="shared" ref="K30:K36" si="83">F30*SUM(G30:J30)</f>
        <v>0</v>
      </c>
      <c r="L30" s="115">
        <f t="shared" si="2"/>
        <v>0</v>
      </c>
      <c r="M30" s="109">
        <f t="shared" si="77"/>
        <v>2.7E-2</v>
      </c>
      <c r="N30" s="123">
        <f t="shared" ref="N30:N36" si="84">K30*M30</f>
        <v>0</v>
      </c>
      <c r="O30" s="124">
        <f t="shared" si="4"/>
        <v>0</v>
      </c>
      <c r="P30" s="125">
        <f t="shared" ref="P30:P36" si="85">IF(F30=0,0,N30/F30)</f>
        <v>0</v>
      </c>
      <c r="Q30" s="123">
        <f t="shared" ref="Q30:Q36" si="86">K30*U30</f>
        <v>0</v>
      </c>
      <c r="R30" s="124">
        <f t="shared" si="7"/>
        <v>0</v>
      </c>
      <c r="S30" s="125">
        <f t="shared" ref="S30:S36" si="87">IF(F30=0,0,Q30/F30)</f>
        <v>0</v>
      </c>
      <c r="T30" s="126">
        <f t="shared" ref="T30:T36" si="88">IFERROR(N30/Q30,0)</f>
        <v>0</v>
      </c>
      <c r="U30" s="146">
        <f t="shared" ref="U30:U36" si="89">SUMPRODUCT(($M$9=$AD$9:$AH$9)*(AD30:AH30))</f>
        <v>0.25</v>
      </c>
      <c r="X30" s="152">
        <v>-0.05</v>
      </c>
      <c r="Y30" s="153">
        <v>0.04</v>
      </c>
      <c r="Z30" s="153">
        <v>2.7E-2</v>
      </c>
      <c r="AA30" s="153">
        <v>2.7E-2</v>
      </c>
      <c r="AB30" s="154">
        <v>0.06</v>
      </c>
      <c r="AD30" s="69">
        <v>0.25</v>
      </c>
      <c r="AE30" s="70">
        <v>0.25</v>
      </c>
      <c r="AF30" s="70">
        <v>0.25</v>
      </c>
      <c r="AG30" s="70">
        <v>0.25</v>
      </c>
      <c r="AH30" s="71">
        <v>0.25</v>
      </c>
      <c r="AJ30" s="161">
        <v>1</v>
      </c>
      <c r="AK30" s="359">
        <f t="shared" si="11"/>
        <v>0</v>
      </c>
      <c r="AM30" s="166">
        <f t="shared" si="79"/>
        <v>0</v>
      </c>
      <c r="AN30" s="167">
        <f t="shared" si="79"/>
        <v>0</v>
      </c>
      <c r="AO30" s="167">
        <f t="shared" si="79"/>
        <v>0</v>
      </c>
      <c r="AP30" s="167">
        <f t="shared" si="79"/>
        <v>0</v>
      </c>
      <c r="AQ30" s="168">
        <f t="shared" si="79"/>
        <v>0</v>
      </c>
    </row>
    <row r="31" spans="2:53" ht="18.75" x14ac:dyDescent="0.25">
      <c r="B31" s="246"/>
      <c r="C31" s="96"/>
      <c r="D31" s="102" t="s">
        <v>74</v>
      </c>
      <c r="E31" s="105">
        <v>2</v>
      </c>
      <c r="F31" s="101">
        <v>0</v>
      </c>
      <c r="G31" s="101">
        <v>0</v>
      </c>
      <c r="H31" s="101">
        <v>0</v>
      </c>
      <c r="I31" s="12"/>
      <c r="J31" s="196"/>
      <c r="K31" s="120">
        <f t="shared" si="83"/>
        <v>0</v>
      </c>
      <c r="L31" s="116">
        <f t="shared" si="2"/>
        <v>0</v>
      </c>
      <c r="M31" s="110">
        <f t="shared" si="77"/>
        <v>-0.02</v>
      </c>
      <c r="N31" s="127">
        <f t="shared" si="84"/>
        <v>0</v>
      </c>
      <c r="O31" s="128">
        <f t="shared" si="4"/>
        <v>0</v>
      </c>
      <c r="P31" s="129">
        <f t="shared" si="85"/>
        <v>0</v>
      </c>
      <c r="Q31" s="127">
        <f t="shared" si="86"/>
        <v>0</v>
      </c>
      <c r="R31" s="128">
        <f t="shared" si="7"/>
        <v>0</v>
      </c>
      <c r="S31" s="129">
        <f t="shared" si="87"/>
        <v>0</v>
      </c>
      <c r="T31" s="130">
        <f t="shared" si="88"/>
        <v>0</v>
      </c>
      <c r="U31" s="147">
        <f t="shared" si="89"/>
        <v>0.1</v>
      </c>
      <c r="V31" s="78"/>
      <c r="W31" s="78"/>
      <c r="X31" s="155">
        <v>-0.1</v>
      </c>
      <c r="Y31" s="156">
        <v>0.16</v>
      </c>
      <c r="Z31" s="156">
        <v>-0.02</v>
      </c>
      <c r="AA31" s="156">
        <v>-0.02</v>
      </c>
      <c r="AB31" s="157">
        <v>0.2</v>
      </c>
      <c r="AD31" s="73">
        <f t="shared" ref="AD31" si="90">X31+1</f>
        <v>0.9</v>
      </c>
      <c r="AE31" s="74">
        <f t="shared" ref="AE31" si="91">Y31+1</f>
        <v>1.1599999999999999</v>
      </c>
      <c r="AF31" s="74">
        <v>0.1</v>
      </c>
      <c r="AG31" s="74">
        <v>0.1</v>
      </c>
      <c r="AH31" s="75">
        <f t="shared" ref="AH31" si="92">AB31+1</f>
        <v>1.2</v>
      </c>
      <c r="AJ31" s="161">
        <v>1</v>
      </c>
      <c r="AK31" s="359">
        <f t="shared" si="11"/>
        <v>0</v>
      </c>
      <c r="AM31" s="166">
        <f t="shared" si="79"/>
        <v>0</v>
      </c>
      <c r="AN31" s="167">
        <f t="shared" si="79"/>
        <v>0</v>
      </c>
      <c r="AO31" s="167">
        <f t="shared" si="79"/>
        <v>0</v>
      </c>
      <c r="AP31" s="167">
        <f t="shared" si="79"/>
        <v>0</v>
      </c>
      <c r="AQ31" s="168">
        <f t="shared" si="79"/>
        <v>0</v>
      </c>
    </row>
    <row r="32" spans="2:53" ht="18.75" x14ac:dyDescent="0.25">
      <c r="B32" s="246"/>
      <c r="C32" s="96"/>
      <c r="D32" s="102" t="s">
        <v>45</v>
      </c>
      <c r="E32" s="105">
        <v>2</v>
      </c>
      <c r="F32" s="101">
        <v>0</v>
      </c>
      <c r="G32" s="101">
        <v>0</v>
      </c>
      <c r="H32" s="101">
        <v>0</v>
      </c>
      <c r="I32" s="12"/>
      <c r="J32" s="196"/>
      <c r="K32" s="120">
        <f t="shared" si="83"/>
        <v>0</v>
      </c>
      <c r="L32" s="116">
        <f t="shared" si="2"/>
        <v>0</v>
      </c>
      <c r="M32" s="110">
        <f t="shared" si="77"/>
        <v>0.05</v>
      </c>
      <c r="N32" s="127">
        <f t="shared" si="84"/>
        <v>0</v>
      </c>
      <c r="O32" s="128">
        <f t="shared" si="4"/>
        <v>0</v>
      </c>
      <c r="P32" s="129">
        <f t="shared" si="85"/>
        <v>0</v>
      </c>
      <c r="Q32" s="127">
        <f t="shared" si="86"/>
        <v>0</v>
      </c>
      <c r="R32" s="128">
        <f t="shared" si="7"/>
        <v>0</v>
      </c>
      <c r="S32" s="129">
        <f t="shared" si="87"/>
        <v>0</v>
      </c>
      <c r="T32" s="130">
        <f t="shared" si="88"/>
        <v>0</v>
      </c>
      <c r="U32" s="147">
        <f t="shared" si="89"/>
        <v>0.55000000000000004</v>
      </c>
      <c r="X32" s="155">
        <v>-0.05</v>
      </c>
      <c r="Y32" s="156">
        <v>0.08</v>
      </c>
      <c r="Z32" s="156">
        <v>0.05</v>
      </c>
      <c r="AA32" s="156">
        <v>0.05</v>
      </c>
      <c r="AB32" s="157">
        <v>0.1</v>
      </c>
      <c r="AD32" s="73">
        <f>X32+0.5</f>
        <v>0.45</v>
      </c>
      <c r="AE32" s="74">
        <f t="shared" ref="AE32" si="93">Y32+0.5</f>
        <v>0.57999999999999996</v>
      </c>
      <c r="AF32" s="74">
        <f t="shared" ref="AF32:AG32" si="94">Z32+0.5</f>
        <v>0.55000000000000004</v>
      </c>
      <c r="AG32" s="74">
        <f t="shared" si="94"/>
        <v>0.55000000000000004</v>
      </c>
      <c r="AH32" s="75">
        <f t="shared" ref="AH32" si="95">AB32+0.5</f>
        <v>0.6</v>
      </c>
      <c r="AJ32" s="161">
        <v>1</v>
      </c>
      <c r="AK32" s="359">
        <f t="shared" si="11"/>
        <v>0</v>
      </c>
      <c r="AM32" s="166">
        <f t="shared" si="79"/>
        <v>0</v>
      </c>
      <c r="AN32" s="167">
        <f t="shared" si="79"/>
        <v>0</v>
      </c>
      <c r="AO32" s="167">
        <f t="shared" si="79"/>
        <v>0</v>
      </c>
      <c r="AP32" s="167">
        <f t="shared" si="79"/>
        <v>0</v>
      </c>
      <c r="AQ32" s="168">
        <f t="shared" si="79"/>
        <v>0</v>
      </c>
    </row>
    <row r="33" spans="2:43" ht="18.75" x14ac:dyDescent="0.25">
      <c r="B33" s="246"/>
      <c r="C33" s="96"/>
      <c r="D33" s="102" t="s">
        <v>47</v>
      </c>
      <c r="E33" s="105">
        <v>2</v>
      </c>
      <c r="F33" s="101">
        <v>0</v>
      </c>
      <c r="G33" s="101">
        <v>0</v>
      </c>
      <c r="H33" s="101">
        <v>0</v>
      </c>
      <c r="I33" s="12"/>
      <c r="J33" s="196"/>
      <c r="K33" s="120">
        <f t="shared" si="83"/>
        <v>0</v>
      </c>
      <c r="L33" s="116">
        <f t="shared" si="2"/>
        <v>0</v>
      </c>
      <c r="M33" s="110">
        <f t="shared" si="77"/>
        <v>0.08</v>
      </c>
      <c r="N33" s="127">
        <f t="shared" si="84"/>
        <v>0</v>
      </c>
      <c r="O33" s="128">
        <f t="shared" si="4"/>
        <v>0</v>
      </c>
      <c r="P33" s="129">
        <f t="shared" si="85"/>
        <v>0</v>
      </c>
      <c r="Q33" s="127">
        <f t="shared" si="86"/>
        <v>0</v>
      </c>
      <c r="R33" s="128">
        <f t="shared" si="7"/>
        <v>0</v>
      </c>
      <c r="S33" s="129">
        <f t="shared" si="87"/>
        <v>0</v>
      </c>
      <c r="T33" s="130">
        <f t="shared" si="88"/>
        <v>0</v>
      </c>
      <c r="U33" s="147">
        <f t="shared" si="89"/>
        <v>1.08</v>
      </c>
      <c r="X33" s="155">
        <v>-0.1</v>
      </c>
      <c r="Y33" s="156">
        <v>0.09</v>
      </c>
      <c r="Z33" s="156">
        <v>0.08</v>
      </c>
      <c r="AA33" s="156">
        <v>0.08</v>
      </c>
      <c r="AB33" s="157">
        <v>0.2</v>
      </c>
      <c r="AD33" s="73">
        <f>X33+1</f>
        <v>0.9</v>
      </c>
      <c r="AE33" s="74">
        <f t="shared" ref="AE33" si="96">Y33+1</f>
        <v>1.0900000000000001</v>
      </c>
      <c r="AF33" s="74">
        <f t="shared" ref="AF33:AG33" si="97">Z33+1</f>
        <v>1.08</v>
      </c>
      <c r="AG33" s="74">
        <f t="shared" si="97"/>
        <v>1.08</v>
      </c>
      <c r="AH33" s="75">
        <f t="shared" ref="AH33" si="98">AB33+1</f>
        <v>1.2</v>
      </c>
      <c r="AJ33" s="161">
        <v>1</v>
      </c>
      <c r="AK33" s="359">
        <f t="shared" si="11"/>
        <v>0</v>
      </c>
      <c r="AM33" s="166">
        <f t="shared" si="79"/>
        <v>0</v>
      </c>
      <c r="AN33" s="167">
        <f t="shared" si="79"/>
        <v>0</v>
      </c>
      <c r="AO33" s="167">
        <f t="shared" si="79"/>
        <v>0</v>
      </c>
      <c r="AP33" s="167">
        <f t="shared" si="79"/>
        <v>0</v>
      </c>
      <c r="AQ33" s="168">
        <f t="shared" si="79"/>
        <v>0</v>
      </c>
    </row>
    <row r="34" spans="2:43" ht="18.75" x14ac:dyDescent="0.25">
      <c r="B34" s="246"/>
      <c r="C34" s="96"/>
      <c r="D34" s="102" t="s">
        <v>4</v>
      </c>
      <c r="E34" s="105">
        <v>2</v>
      </c>
      <c r="F34" s="101">
        <v>0</v>
      </c>
      <c r="G34" s="101">
        <v>0</v>
      </c>
      <c r="H34" s="101">
        <v>0</v>
      </c>
      <c r="I34" s="12"/>
      <c r="J34" s="196"/>
      <c r="K34" s="120">
        <f t="shared" si="83"/>
        <v>0</v>
      </c>
      <c r="L34" s="116">
        <f t="shared" si="2"/>
        <v>0</v>
      </c>
      <c r="M34" s="110">
        <f t="shared" si="77"/>
        <v>0.2</v>
      </c>
      <c r="N34" s="127">
        <f t="shared" si="84"/>
        <v>0</v>
      </c>
      <c r="O34" s="128">
        <f t="shared" si="4"/>
        <v>0</v>
      </c>
      <c r="P34" s="129">
        <f t="shared" si="85"/>
        <v>0</v>
      </c>
      <c r="Q34" s="127">
        <f t="shared" si="86"/>
        <v>0</v>
      </c>
      <c r="R34" s="128">
        <f t="shared" si="7"/>
        <v>0</v>
      </c>
      <c r="S34" s="129">
        <f t="shared" si="87"/>
        <v>0</v>
      </c>
      <c r="T34" s="130">
        <f t="shared" si="88"/>
        <v>0</v>
      </c>
      <c r="U34" s="147">
        <f t="shared" si="89"/>
        <v>2.2000000000000002</v>
      </c>
      <c r="X34" s="155">
        <v>-0.4</v>
      </c>
      <c r="Y34" s="156">
        <v>0.2</v>
      </c>
      <c r="Z34" s="156">
        <v>0.2</v>
      </c>
      <c r="AA34" s="156">
        <v>0.2</v>
      </c>
      <c r="AB34" s="157">
        <v>0.25</v>
      </c>
      <c r="AD34" s="73">
        <f>X34+2</f>
        <v>1.6</v>
      </c>
      <c r="AE34" s="74">
        <f t="shared" ref="AE34" si="99">Y34+2</f>
        <v>2.2000000000000002</v>
      </c>
      <c r="AF34" s="74">
        <f t="shared" ref="AF34:AG34" si="100">Z34+2</f>
        <v>2.2000000000000002</v>
      </c>
      <c r="AG34" s="74">
        <f t="shared" si="100"/>
        <v>2.2000000000000002</v>
      </c>
      <c r="AH34" s="75">
        <f t="shared" ref="AH34" si="101">AB34+2</f>
        <v>2.25</v>
      </c>
      <c r="AJ34" s="161">
        <v>1</v>
      </c>
      <c r="AK34" s="359">
        <f t="shared" si="11"/>
        <v>0</v>
      </c>
      <c r="AM34" s="166">
        <f t="shared" si="79"/>
        <v>0</v>
      </c>
      <c r="AN34" s="167">
        <f t="shared" si="79"/>
        <v>0</v>
      </c>
      <c r="AO34" s="167">
        <f t="shared" si="79"/>
        <v>0</v>
      </c>
      <c r="AP34" s="167">
        <f t="shared" si="79"/>
        <v>0</v>
      </c>
      <c r="AQ34" s="168">
        <f t="shared" si="79"/>
        <v>0</v>
      </c>
    </row>
    <row r="35" spans="2:43" ht="18.75" x14ac:dyDescent="0.25">
      <c r="B35" s="246"/>
      <c r="C35" s="96"/>
      <c r="D35" s="102" t="s">
        <v>37</v>
      </c>
      <c r="E35" s="105">
        <v>2</v>
      </c>
      <c r="F35" s="101">
        <v>0</v>
      </c>
      <c r="G35" s="101">
        <v>0</v>
      </c>
      <c r="H35" s="101">
        <v>0</v>
      </c>
      <c r="I35" s="12"/>
      <c r="J35" s="196"/>
      <c r="K35" s="120">
        <f t="shared" si="83"/>
        <v>0</v>
      </c>
      <c r="L35" s="116">
        <f t="shared" si="2"/>
        <v>0</v>
      </c>
      <c r="M35" s="110">
        <f t="shared" ref="M35" si="102">SUMPRODUCT(($M$9=$X$9:$AB$9)*(X35:AB35))</f>
        <v>0.1</v>
      </c>
      <c r="N35" s="127">
        <f t="shared" si="84"/>
        <v>0</v>
      </c>
      <c r="O35" s="128">
        <f t="shared" si="4"/>
        <v>0</v>
      </c>
      <c r="P35" s="129">
        <f t="shared" si="85"/>
        <v>0</v>
      </c>
      <c r="Q35" s="127">
        <f t="shared" si="86"/>
        <v>0</v>
      </c>
      <c r="R35" s="128">
        <f t="shared" si="7"/>
        <v>0</v>
      </c>
      <c r="S35" s="129">
        <f t="shared" si="87"/>
        <v>0</v>
      </c>
      <c r="T35" s="130">
        <f t="shared" si="88"/>
        <v>0</v>
      </c>
      <c r="U35" s="147">
        <f t="shared" si="89"/>
        <v>0.7</v>
      </c>
      <c r="X35" s="155">
        <v>-0.15</v>
      </c>
      <c r="Y35" s="156">
        <v>0.12</v>
      </c>
      <c r="Z35" s="156">
        <v>0.1</v>
      </c>
      <c r="AA35" s="156">
        <v>0.1</v>
      </c>
      <c r="AB35" s="157">
        <v>0.18</v>
      </c>
      <c r="AD35" s="73">
        <f>X35+60%</f>
        <v>0.44999999999999996</v>
      </c>
      <c r="AE35" s="74">
        <f t="shared" ref="AE35:AE36" si="103">Y35+60%</f>
        <v>0.72</v>
      </c>
      <c r="AF35" s="74">
        <f t="shared" ref="AF35:AG36" si="104">Z35+60%</f>
        <v>0.7</v>
      </c>
      <c r="AG35" s="74">
        <f t="shared" si="104"/>
        <v>0.7</v>
      </c>
      <c r="AH35" s="75">
        <f t="shared" ref="AH35:AH36" si="105">AB35+60%</f>
        <v>0.78</v>
      </c>
      <c r="AJ35" s="161">
        <v>1</v>
      </c>
      <c r="AK35" s="359">
        <f t="shared" si="11"/>
        <v>0</v>
      </c>
      <c r="AM35" s="166">
        <f t="shared" si="79"/>
        <v>0</v>
      </c>
      <c r="AN35" s="167">
        <f t="shared" si="79"/>
        <v>0</v>
      </c>
      <c r="AO35" s="167">
        <f t="shared" si="79"/>
        <v>0</v>
      </c>
      <c r="AP35" s="167">
        <f t="shared" si="79"/>
        <v>0</v>
      </c>
      <c r="AQ35" s="168">
        <f t="shared" si="79"/>
        <v>0</v>
      </c>
    </row>
    <row r="36" spans="2:43" ht="18.75" x14ac:dyDescent="0.25">
      <c r="B36" s="246"/>
      <c r="C36" s="96"/>
      <c r="D36" s="102" t="s">
        <v>38</v>
      </c>
      <c r="E36" s="105">
        <v>2</v>
      </c>
      <c r="F36" s="107">
        <v>0</v>
      </c>
      <c r="G36" s="107">
        <v>0</v>
      </c>
      <c r="H36" s="107">
        <v>0</v>
      </c>
      <c r="I36" s="199"/>
      <c r="J36" s="200"/>
      <c r="K36" s="120">
        <f t="shared" si="83"/>
        <v>0</v>
      </c>
      <c r="L36" s="116">
        <f t="shared" si="2"/>
        <v>0</v>
      </c>
      <c r="M36" s="110">
        <f t="shared" ref="M36:M45" si="106">SUMPRODUCT(($M$9=$X$9:$AB$9)*(X36:AB36))</f>
        <v>0.1</v>
      </c>
      <c r="N36" s="127">
        <f t="shared" si="84"/>
        <v>0</v>
      </c>
      <c r="O36" s="128">
        <f t="shared" si="4"/>
        <v>0</v>
      </c>
      <c r="P36" s="129">
        <f t="shared" si="85"/>
        <v>0</v>
      </c>
      <c r="Q36" s="127">
        <f t="shared" si="86"/>
        <v>0</v>
      </c>
      <c r="R36" s="128">
        <f t="shared" si="7"/>
        <v>0</v>
      </c>
      <c r="S36" s="129">
        <f t="shared" si="87"/>
        <v>0</v>
      </c>
      <c r="T36" s="130">
        <f t="shared" si="88"/>
        <v>0</v>
      </c>
      <c r="U36" s="147">
        <f t="shared" si="89"/>
        <v>0.7</v>
      </c>
      <c r="X36" s="155">
        <v>-0.15</v>
      </c>
      <c r="Y36" s="156">
        <v>0.12</v>
      </c>
      <c r="Z36" s="156">
        <v>0.1</v>
      </c>
      <c r="AA36" s="156">
        <v>0.1</v>
      </c>
      <c r="AB36" s="157">
        <v>0.18</v>
      </c>
      <c r="AD36" s="73">
        <f t="shared" ref="AD36" si="107">X36+60%</f>
        <v>0.44999999999999996</v>
      </c>
      <c r="AE36" s="74">
        <f t="shared" si="103"/>
        <v>0.72</v>
      </c>
      <c r="AF36" s="74">
        <f t="shared" si="104"/>
        <v>0.7</v>
      </c>
      <c r="AG36" s="74">
        <f t="shared" si="104"/>
        <v>0.7</v>
      </c>
      <c r="AH36" s="75">
        <f t="shared" si="105"/>
        <v>0.78</v>
      </c>
      <c r="AJ36" s="161">
        <v>1</v>
      </c>
      <c r="AK36" s="359">
        <f t="shared" si="11"/>
        <v>0</v>
      </c>
      <c r="AM36" s="166">
        <f t="shared" si="79"/>
        <v>0</v>
      </c>
      <c r="AN36" s="167">
        <f t="shared" si="79"/>
        <v>0</v>
      </c>
      <c r="AO36" s="167">
        <f t="shared" si="79"/>
        <v>0</v>
      </c>
      <c r="AP36" s="167">
        <f t="shared" si="79"/>
        <v>0</v>
      </c>
      <c r="AQ36" s="168">
        <f t="shared" si="79"/>
        <v>0</v>
      </c>
    </row>
    <row r="37" spans="2:43" ht="15" customHeight="1" x14ac:dyDescent="0.25">
      <c r="B37" s="278" t="s">
        <v>90</v>
      </c>
      <c r="C37" s="99"/>
      <c r="D37" s="103" t="s">
        <v>39</v>
      </c>
      <c r="E37" s="104">
        <v>2</v>
      </c>
      <c r="F37" s="101">
        <v>0</v>
      </c>
      <c r="G37" s="101">
        <v>0</v>
      </c>
      <c r="H37" s="101">
        <v>0</v>
      </c>
      <c r="I37" s="13"/>
      <c r="J37" s="53"/>
      <c r="K37" s="118">
        <f t="shared" ref="K37:K41" si="108">F37*SUM(G37:J37)</f>
        <v>0</v>
      </c>
      <c r="L37" s="119">
        <f t="shared" si="2"/>
        <v>0</v>
      </c>
      <c r="M37" s="112">
        <f t="shared" si="106"/>
        <v>0.1</v>
      </c>
      <c r="N37" s="135">
        <f>K37*M37</f>
        <v>0</v>
      </c>
      <c r="O37" s="136">
        <f t="shared" si="4"/>
        <v>0</v>
      </c>
      <c r="P37" s="137">
        <f>IF(F37=0,0,N37/F37)</f>
        <v>0</v>
      </c>
      <c r="Q37" s="135">
        <f t="shared" si="75"/>
        <v>0</v>
      </c>
      <c r="R37" s="136">
        <f t="shared" si="7"/>
        <v>0</v>
      </c>
      <c r="S37" s="137">
        <f t="shared" ref="S37:S41" si="109">IF(F37=0,0,Q37/F37)</f>
        <v>0</v>
      </c>
      <c r="T37" s="138">
        <f t="shared" si="19"/>
        <v>0</v>
      </c>
      <c r="U37" s="149">
        <f t="shared" ref="U37:U48" si="110">SUMPRODUCT(($M$9=$AD$9:$AH$9)*(AD37:AH37))</f>
        <v>0.15</v>
      </c>
      <c r="V37" s="78"/>
      <c r="W37" s="78"/>
      <c r="X37" s="152">
        <v>-0.15</v>
      </c>
      <c r="Y37" s="153">
        <v>0.08</v>
      </c>
      <c r="Z37" s="153">
        <v>0.1</v>
      </c>
      <c r="AA37" s="153">
        <v>0.1</v>
      </c>
      <c r="AB37" s="154">
        <v>0.16</v>
      </c>
      <c r="AD37" s="69">
        <v>0.15</v>
      </c>
      <c r="AE37" s="70">
        <v>0.15</v>
      </c>
      <c r="AF37" s="70">
        <v>0.25</v>
      </c>
      <c r="AG37" s="70">
        <v>0.15</v>
      </c>
      <c r="AH37" s="71">
        <v>0.15</v>
      </c>
      <c r="AJ37" s="161">
        <v>1</v>
      </c>
      <c r="AK37" s="359">
        <f t="shared" si="11"/>
        <v>0</v>
      </c>
      <c r="AM37" s="166">
        <f t="shared" si="79"/>
        <v>0</v>
      </c>
      <c r="AN37" s="167">
        <f t="shared" si="79"/>
        <v>0</v>
      </c>
      <c r="AO37" s="167">
        <f t="shared" si="79"/>
        <v>0</v>
      </c>
      <c r="AP37" s="167">
        <f t="shared" si="79"/>
        <v>0</v>
      </c>
      <c r="AQ37" s="168">
        <f t="shared" si="79"/>
        <v>0</v>
      </c>
    </row>
    <row r="38" spans="2:43" ht="15" customHeight="1" x14ac:dyDescent="0.25">
      <c r="B38" s="279"/>
      <c r="C38" s="96"/>
      <c r="D38" s="102" t="s">
        <v>40</v>
      </c>
      <c r="E38" s="105">
        <v>2</v>
      </c>
      <c r="F38" s="101">
        <v>0</v>
      </c>
      <c r="G38" s="101">
        <v>0</v>
      </c>
      <c r="H38" s="101">
        <v>0</v>
      </c>
      <c r="I38" s="13"/>
      <c r="J38" s="53"/>
      <c r="K38" s="120">
        <f t="shared" si="108"/>
        <v>0</v>
      </c>
      <c r="L38" s="116">
        <f t="shared" si="2"/>
        <v>0</v>
      </c>
      <c r="M38" s="113">
        <f t="shared" si="106"/>
        <v>0</v>
      </c>
      <c r="N38" s="139">
        <f>K38*M38</f>
        <v>0</v>
      </c>
      <c r="O38" s="140">
        <f t="shared" si="4"/>
        <v>0</v>
      </c>
      <c r="P38" s="129">
        <f>IF(F38=0,0,N38/F38)</f>
        <v>0</v>
      </c>
      <c r="Q38" s="139">
        <f t="shared" si="75"/>
        <v>0</v>
      </c>
      <c r="R38" s="140">
        <f t="shared" si="7"/>
        <v>0</v>
      </c>
      <c r="S38" s="129">
        <f t="shared" si="109"/>
        <v>0</v>
      </c>
      <c r="T38" s="141">
        <f t="shared" si="19"/>
        <v>0</v>
      </c>
      <c r="U38" s="150">
        <f t="shared" si="110"/>
        <v>0.15</v>
      </c>
      <c r="V38" s="78"/>
      <c r="W38" s="78"/>
      <c r="X38" s="155">
        <v>0</v>
      </c>
      <c r="Y38" s="156">
        <v>0</v>
      </c>
      <c r="Z38" s="156">
        <v>0</v>
      </c>
      <c r="AA38" s="156">
        <v>0</v>
      </c>
      <c r="AB38" s="157">
        <v>0</v>
      </c>
      <c r="AD38" s="73">
        <v>0.15</v>
      </c>
      <c r="AE38" s="74">
        <v>0.15</v>
      </c>
      <c r="AF38" s="74">
        <v>0.15</v>
      </c>
      <c r="AG38" s="74">
        <v>0.15</v>
      </c>
      <c r="AH38" s="75">
        <v>0.15</v>
      </c>
      <c r="AJ38" s="161">
        <v>1</v>
      </c>
      <c r="AK38" s="359">
        <f t="shared" si="11"/>
        <v>0</v>
      </c>
      <c r="AM38" s="166">
        <f t="shared" si="79"/>
        <v>0</v>
      </c>
      <c r="AN38" s="167">
        <f t="shared" si="79"/>
        <v>0</v>
      </c>
      <c r="AO38" s="167">
        <f t="shared" si="79"/>
        <v>0</v>
      </c>
      <c r="AP38" s="167">
        <f t="shared" si="79"/>
        <v>0</v>
      </c>
      <c r="AQ38" s="168">
        <f t="shared" si="79"/>
        <v>0</v>
      </c>
    </row>
    <row r="39" spans="2:43" ht="15" customHeight="1" x14ac:dyDescent="0.25">
      <c r="B39" s="279"/>
      <c r="C39" s="96"/>
      <c r="D39" s="102" t="s">
        <v>41</v>
      </c>
      <c r="E39" s="105">
        <v>2</v>
      </c>
      <c r="F39" s="101">
        <v>0</v>
      </c>
      <c r="G39" s="101">
        <v>0</v>
      </c>
      <c r="H39" s="101">
        <v>0</v>
      </c>
      <c r="I39" s="13"/>
      <c r="J39" s="53"/>
      <c r="K39" s="120">
        <f t="shared" si="108"/>
        <v>0</v>
      </c>
      <c r="L39" s="116">
        <f t="shared" si="2"/>
        <v>0</v>
      </c>
      <c r="M39" s="113">
        <f t="shared" si="106"/>
        <v>0</v>
      </c>
      <c r="N39" s="139">
        <f>K39*M39</f>
        <v>0</v>
      </c>
      <c r="O39" s="140">
        <f t="shared" si="4"/>
        <v>0</v>
      </c>
      <c r="P39" s="129">
        <f>IF(F39=0,0,N39/F39)</f>
        <v>0</v>
      </c>
      <c r="Q39" s="139">
        <f t="shared" si="75"/>
        <v>0</v>
      </c>
      <c r="R39" s="140">
        <f t="shared" si="7"/>
        <v>0</v>
      </c>
      <c r="S39" s="129">
        <f t="shared" si="109"/>
        <v>0</v>
      </c>
      <c r="T39" s="141">
        <f t="shared" si="19"/>
        <v>0</v>
      </c>
      <c r="U39" s="150">
        <f t="shared" si="110"/>
        <v>0.15</v>
      </c>
      <c r="V39" s="78"/>
      <c r="W39" s="78"/>
      <c r="X39" s="155">
        <v>0</v>
      </c>
      <c r="Y39" s="156">
        <v>0</v>
      </c>
      <c r="Z39" s="156">
        <v>0</v>
      </c>
      <c r="AA39" s="156">
        <v>0</v>
      </c>
      <c r="AB39" s="157">
        <v>0</v>
      </c>
      <c r="AD39" s="73">
        <v>0.15</v>
      </c>
      <c r="AE39" s="74">
        <v>0.15</v>
      </c>
      <c r="AF39" s="74">
        <v>0.15</v>
      </c>
      <c r="AG39" s="74">
        <v>0.15</v>
      </c>
      <c r="AH39" s="75">
        <v>0.15</v>
      </c>
      <c r="AJ39" s="161">
        <v>1</v>
      </c>
      <c r="AK39" s="359">
        <f t="shared" si="11"/>
        <v>0</v>
      </c>
      <c r="AM39" s="166">
        <f t="shared" si="79"/>
        <v>0</v>
      </c>
      <c r="AN39" s="167">
        <f t="shared" si="79"/>
        <v>0</v>
      </c>
      <c r="AO39" s="167">
        <f t="shared" si="79"/>
        <v>0</v>
      </c>
      <c r="AP39" s="167">
        <f t="shared" si="79"/>
        <v>0</v>
      </c>
      <c r="AQ39" s="168">
        <f t="shared" si="79"/>
        <v>0</v>
      </c>
    </row>
    <row r="40" spans="2:43" ht="15" customHeight="1" x14ac:dyDescent="0.25">
      <c r="B40" s="279"/>
      <c r="C40" s="96"/>
      <c r="D40" s="102" t="s">
        <v>42</v>
      </c>
      <c r="E40" s="105">
        <v>2</v>
      </c>
      <c r="F40" s="101">
        <v>0</v>
      </c>
      <c r="G40" s="101">
        <v>0</v>
      </c>
      <c r="H40" s="101">
        <v>0</v>
      </c>
      <c r="I40" s="13"/>
      <c r="J40" s="53"/>
      <c r="K40" s="120">
        <f t="shared" si="108"/>
        <v>0</v>
      </c>
      <c r="L40" s="116">
        <f t="shared" si="2"/>
        <v>0</v>
      </c>
      <c r="M40" s="113">
        <f t="shared" si="106"/>
        <v>0</v>
      </c>
      <c r="N40" s="139">
        <f>K40*M40</f>
        <v>0</v>
      </c>
      <c r="O40" s="140">
        <f t="shared" si="4"/>
        <v>0</v>
      </c>
      <c r="P40" s="129">
        <f>IF(F40=0,0,N40/F40)</f>
        <v>0</v>
      </c>
      <c r="Q40" s="139">
        <f t="shared" si="75"/>
        <v>0</v>
      </c>
      <c r="R40" s="140">
        <f t="shared" si="7"/>
        <v>0</v>
      </c>
      <c r="S40" s="129">
        <f t="shared" si="109"/>
        <v>0</v>
      </c>
      <c r="T40" s="141">
        <f t="shared" si="19"/>
        <v>0</v>
      </c>
      <c r="U40" s="150">
        <f t="shared" si="110"/>
        <v>0.15</v>
      </c>
      <c r="X40" s="155">
        <v>0</v>
      </c>
      <c r="Y40" s="156">
        <v>0</v>
      </c>
      <c r="Z40" s="156">
        <v>0</v>
      </c>
      <c r="AA40" s="156">
        <v>0</v>
      </c>
      <c r="AB40" s="157">
        <v>0</v>
      </c>
      <c r="AD40" s="73">
        <v>0.15</v>
      </c>
      <c r="AE40" s="74">
        <v>0.15</v>
      </c>
      <c r="AF40" s="74">
        <v>0.15</v>
      </c>
      <c r="AG40" s="74">
        <v>0.15</v>
      </c>
      <c r="AH40" s="75">
        <v>0.15</v>
      </c>
      <c r="AJ40" s="161">
        <v>1</v>
      </c>
      <c r="AK40" s="359">
        <f t="shared" si="11"/>
        <v>0</v>
      </c>
      <c r="AM40" s="166">
        <f t="shared" si="79"/>
        <v>0</v>
      </c>
      <c r="AN40" s="167">
        <f t="shared" si="79"/>
        <v>0</v>
      </c>
      <c r="AO40" s="167">
        <f t="shared" si="79"/>
        <v>0</v>
      </c>
      <c r="AP40" s="167">
        <f t="shared" si="79"/>
        <v>0</v>
      </c>
      <c r="AQ40" s="168">
        <f t="shared" si="79"/>
        <v>0</v>
      </c>
    </row>
    <row r="41" spans="2:43" ht="15" customHeight="1" x14ac:dyDescent="0.25">
      <c r="B41" s="279"/>
      <c r="C41" s="96"/>
      <c r="D41" s="102" t="s">
        <v>48</v>
      </c>
      <c r="E41" s="105">
        <v>2</v>
      </c>
      <c r="F41" s="101">
        <v>0</v>
      </c>
      <c r="G41" s="101">
        <v>0</v>
      </c>
      <c r="H41" s="101">
        <v>0</v>
      </c>
      <c r="I41" s="13"/>
      <c r="J41" s="53"/>
      <c r="K41" s="120">
        <f t="shared" si="108"/>
        <v>0</v>
      </c>
      <c r="L41" s="116">
        <f t="shared" si="2"/>
        <v>0</v>
      </c>
      <c r="M41" s="113">
        <f t="shared" si="106"/>
        <v>0</v>
      </c>
      <c r="N41" s="139">
        <f>K41*M41</f>
        <v>0</v>
      </c>
      <c r="O41" s="140">
        <f t="shared" si="4"/>
        <v>0</v>
      </c>
      <c r="P41" s="129">
        <f>IF(F41=0,0,N41/F41)</f>
        <v>0</v>
      </c>
      <c r="Q41" s="139">
        <f t="shared" si="75"/>
        <v>0</v>
      </c>
      <c r="R41" s="140">
        <f t="shared" si="7"/>
        <v>0</v>
      </c>
      <c r="S41" s="129">
        <f t="shared" si="109"/>
        <v>0</v>
      </c>
      <c r="T41" s="141">
        <f t="shared" si="19"/>
        <v>0</v>
      </c>
      <c r="U41" s="150">
        <f t="shared" si="110"/>
        <v>0.15</v>
      </c>
      <c r="X41" s="155">
        <v>0</v>
      </c>
      <c r="Y41" s="156">
        <v>0</v>
      </c>
      <c r="Z41" s="156">
        <v>0</v>
      </c>
      <c r="AA41" s="156">
        <v>0</v>
      </c>
      <c r="AB41" s="157">
        <v>0</v>
      </c>
      <c r="AD41" s="73">
        <v>0.15</v>
      </c>
      <c r="AE41" s="74">
        <v>0.15</v>
      </c>
      <c r="AF41" s="74">
        <v>0.15</v>
      </c>
      <c r="AG41" s="74">
        <v>0.15</v>
      </c>
      <c r="AH41" s="75">
        <v>0.15</v>
      </c>
      <c r="AJ41" s="161">
        <v>1</v>
      </c>
      <c r="AK41" s="359">
        <f t="shared" si="11"/>
        <v>0</v>
      </c>
      <c r="AM41" s="166">
        <f t="shared" ref="AM41:AQ48" si="111">SUMPRODUCT(($I41=$AL$10:$AL$19)*(AM$10:AM$19))*$F41</f>
        <v>0</v>
      </c>
      <c r="AN41" s="167">
        <f t="shared" si="111"/>
        <v>0</v>
      </c>
      <c r="AO41" s="167">
        <f t="shared" si="111"/>
        <v>0</v>
      </c>
      <c r="AP41" s="167">
        <f t="shared" si="111"/>
        <v>0</v>
      </c>
      <c r="AQ41" s="168">
        <f t="shared" si="111"/>
        <v>0</v>
      </c>
    </row>
    <row r="42" spans="2:43" ht="15" customHeight="1" x14ac:dyDescent="0.25">
      <c r="B42" s="279"/>
      <c r="C42" s="96"/>
      <c r="D42" s="102" t="s">
        <v>92</v>
      </c>
      <c r="E42" s="105">
        <v>1</v>
      </c>
      <c r="F42" s="101">
        <v>0</v>
      </c>
      <c r="G42" s="101">
        <v>0</v>
      </c>
      <c r="H42" s="101">
        <v>0</v>
      </c>
      <c r="I42" s="13"/>
      <c r="J42" s="53"/>
      <c r="K42" s="120">
        <f t="shared" ref="K42:K43" si="112">F42*SUM(G42:J42)</f>
        <v>0</v>
      </c>
      <c r="L42" s="116">
        <f t="shared" ref="L42:L43" si="113">IF($K$49=0,0,K42/$K$49)</f>
        <v>0</v>
      </c>
      <c r="M42" s="113">
        <f t="shared" ref="M42" si="114">SUMPRODUCT(($M$9=$X$9:$AB$9)*(X42:AB42))</f>
        <v>0</v>
      </c>
      <c r="N42" s="139">
        <f t="shared" ref="N42:N43" si="115">K42*M42</f>
        <v>0</v>
      </c>
      <c r="O42" s="140">
        <f t="shared" ref="O42:O43" si="116">IF($N$49=0,0,N42/$N$49)</f>
        <v>0</v>
      </c>
      <c r="P42" s="129">
        <f t="shared" ref="P42:P43" si="117">IF(F42=0,0,N42/F42)</f>
        <v>0</v>
      </c>
      <c r="Q42" s="139">
        <f t="shared" ref="Q42:Q43" si="118">K42*U42</f>
        <v>0</v>
      </c>
      <c r="R42" s="140">
        <f t="shared" ref="R42:R43" si="119">IF($Q$49=0,0,Q42/$Q$49)</f>
        <v>0</v>
      </c>
      <c r="S42" s="129">
        <f t="shared" ref="S42:S43" si="120">IF(F42=0,0,Q42/F42)</f>
        <v>0</v>
      </c>
      <c r="T42" s="141">
        <f t="shared" ref="T42:T43" si="121">IFERROR(N42/Q42,0)</f>
        <v>0</v>
      </c>
      <c r="U42" s="150">
        <f t="shared" ref="U42:U43" si="122">SUMPRODUCT(($M$9=$AD$9:$AH$9)*(AD42:AH42))</f>
        <v>0.15</v>
      </c>
      <c r="X42" s="155">
        <v>0</v>
      </c>
      <c r="Y42" s="156">
        <v>0</v>
      </c>
      <c r="Z42" s="156">
        <v>0</v>
      </c>
      <c r="AA42" s="156">
        <v>0</v>
      </c>
      <c r="AB42" s="157">
        <v>0</v>
      </c>
      <c r="AD42" s="73">
        <v>0.15</v>
      </c>
      <c r="AE42" s="74">
        <v>0.15</v>
      </c>
      <c r="AF42" s="74">
        <v>0.15</v>
      </c>
      <c r="AG42" s="74">
        <v>0.15</v>
      </c>
      <c r="AH42" s="75">
        <v>0.15</v>
      </c>
      <c r="AJ42" s="161">
        <v>1</v>
      </c>
      <c r="AK42" s="359">
        <f t="shared" ref="AK42:AK43" si="123">1-AJ42</f>
        <v>0</v>
      </c>
      <c r="AM42" s="166">
        <f t="shared" si="111"/>
        <v>0</v>
      </c>
      <c r="AN42" s="167">
        <f t="shared" si="111"/>
        <v>0</v>
      </c>
      <c r="AO42" s="167">
        <f t="shared" si="111"/>
        <v>0</v>
      </c>
      <c r="AP42" s="167">
        <f t="shared" si="111"/>
        <v>0</v>
      </c>
      <c r="AQ42" s="168">
        <f t="shared" si="111"/>
        <v>0</v>
      </c>
    </row>
    <row r="43" spans="2:43" ht="15" customHeight="1" x14ac:dyDescent="0.25">
      <c r="B43" s="280"/>
      <c r="C43" s="100"/>
      <c r="D43" s="106" t="s">
        <v>91</v>
      </c>
      <c r="E43" s="198">
        <v>2</v>
      </c>
      <c r="F43" s="107">
        <v>1</v>
      </c>
      <c r="G43" s="107">
        <v>0</v>
      </c>
      <c r="H43" s="107">
        <v>0</v>
      </c>
      <c r="I43" s="54"/>
      <c r="J43" s="55"/>
      <c r="K43" s="121">
        <f t="shared" si="112"/>
        <v>0</v>
      </c>
      <c r="L43" s="122">
        <f t="shared" si="113"/>
        <v>0</v>
      </c>
      <c r="M43" s="114" cm="1">
        <f t="array" ref="M43">SUMPRODUCT(($M$9=$X$9:$AB$9)*(X43:AB43))*(-1)</f>
        <v>0</v>
      </c>
      <c r="N43" s="142">
        <f t="shared" si="115"/>
        <v>0</v>
      </c>
      <c r="O43" s="143">
        <f t="shared" si="116"/>
        <v>0</v>
      </c>
      <c r="P43" s="144">
        <f t="shared" si="117"/>
        <v>0</v>
      </c>
      <c r="Q43" s="142">
        <f t="shared" si="118"/>
        <v>0</v>
      </c>
      <c r="R43" s="143">
        <f t="shared" si="119"/>
        <v>0</v>
      </c>
      <c r="S43" s="144">
        <f t="shared" si="120"/>
        <v>0</v>
      </c>
      <c r="T43" s="145">
        <f t="shared" si="121"/>
        <v>0</v>
      </c>
      <c r="U43" s="151">
        <f t="shared" si="122"/>
        <v>0.15</v>
      </c>
      <c r="X43" s="155">
        <v>0</v>
      </c>
      <c r="Y43" s="156">
        <v>0</v>
      </c>
      <c r="Z43" s="156">
        <v>0</v>
      </c>
      <c r="AA43" s="156">
        <v>0</v>
      </c>
      <c r="AB43" s="157">
        <v>0</v>
      </c>
      <c r="AD43" s="73">
        <v>0.15</v>
      </c>
      <c r="AE43" s="74">
        <v>0.15</v>
      </c>
      <c r="AF43" s="74">
        <v>0.15</v>
      </c>
      <c r="AG43" s="74">
        <v>0.15</v>
      </c>
      <c r="AH43" s="75">
        <v>0.15</v>
      </c>
      <c r="AJ43" s="161">
        <v>1</v>
      </c>
      <c r="AK43" s="359">
        <f t="shared" si="123"/>
        <v>0</v>
      </c>
      <c r="AM43" s="166">
        <f t="shared" si="111"/>
        <v>0</v>
      </c>
      <c r="AN43" s="167">
        <f t="shared" si="111"/>
        <v>0</v>
      </c>
      <c r="AO43" s="167">
        <f t="shared" si="111"/>
        <v>0</v>
      </c>
      <c r="AP43" s="167">
        <f t="shared" si="111"/>
        <v>0</v>
      </c>
      <c r="AQ43" s="168">
        <f t="shared" si="111"/>
        <v>0</v>
      </c>
    </row>
    <row r="44" spans="2:43" ht="18.75" x14ac:dyDescent="0.25">
      <c r="B44" s="273" t="s">
        <v>94</v>
      </c>
      <c r="C44" s="96"/>
      <c r="D44" s="102"/>
      <c r="E44" s="105">
        <v>2</v>
      </c>
      <c r="F44" s="101">
        <v>0</v>
      </c>
      <c r="G44" s="101">
        <v>0</v>
      </c>
      <c r="H44" s="101">
        <v>0</v>
      </c>
      <c r="I44" s="12"/>
      <c r="J44" s="197"/>
      <c r="K44" s="120">
        <f t="shared" si="18"/>
        <v>0</v>
      </c>
      <c r="L44" s="116">
        <f>IF($K$49=0,0,K44/$K$49)</f>
        <v>0</v>
      </c>
      <c r="M44" s="110">
        <f t="shared" si="106"/>
        <v>0</v>
      </c>
      <c r="N44" s="127">
        <f t="shared" si="3"/>
        <v>0</v>
      </c>
      <c r="O44" s="128">
        <f>IF($N$49=0,0,N44/$N$49)</f>
        <v>0</v>
      </c>
      <c r="P44" s="129">
        <f t="shared" si="5"/>
        <v>0</v>
      </c>
      <c r="Q44" s="127">
        <f t="shared" si="75"/>
        <v>0</v>
      </c>
      <c r="R44" s="128">
        <f>IF($Q$49=0,0,Q44/$Q$49)</f>
        <v>0</v>
      </c>
      <c r="S44" s="129">
        <f t="shared" si="47"/>
        <v>0</v>
      </c>
      <c r="T44" s="130">
        <f t="shared" si="19"/>
        <v>0</v>
      </c>
      <c r="U44" s="147">
        <f t="shared" si="110"/>
        <v>0</v>
      </c>
      <c r="X44" s="152">
        <v>0</v>
      </c>
      <c r="Y44" s="153">
        <v>0</v>
      </c>
      <c r="Z44" s="153">
        <v>0</v>
      </c>
      <c r="AA44" s="153">
        <v>0</v>
      </c>
      <c r="AB44" s="154">
        <v>0</v>
      </c>
      <c r="AD44" s="69">
        <v>0</v>
      </c>
      <c r="AE44" s="70">
        <v>0</v>
      </c>
      <c r="AF44" s="70">
        <v>0</v>
      </c>
      <c r="AG44" s="70">
        <v>0</v>
      </c>
      <c r="AH44" s="71">
        <v>0</v>
      </c>
      <c r="AJ44" s="161">
        <v>0</v>
      </c>
      <c r="AK44" s="359">
        <f t="shared" si="11"/>
        <v>1</v>
      </c>
      <c r="AM44" s="166">
        <f t="shared" si="111"/>
        <v>0</v>
      </c>
      <c r="AN44" s="167">
        <f t="shared" si="111"/>
        <v>0</v>
      </c>
      <c r="AO44" s="167">
        <f t="shared" si="111"/>
        <v>0</v>
      </c>
      <c r="AP44" s="167">
        <f t="shared" si="111"/>
        <v>0</v>
      </c>
      <c r="AQ44" s="168">
        <f t="shared" si="111"/>
        <v>0</v>
      </c>
    </row>
    <row r="45" spans="2:43" ht="18.75" x14ac:dyDescent="0.25">
      <c r="B45" s="246"/>
      <c r="C45" s="96"/>
      <c r="D45" s="102"/>
      <c r="E45" s="105">
        <v>2</v>
      </c>
      <c r="F45" s="101">
        <v>0</v>
      </c>
      <c r="G45" s="101">
        <v>0</v>
      </c>
      <c r="H45" s="101">
        <v>0</v>
      </c>
      <c r="I45" s="12"/>
      <c r="J45" s="197"/>
      <c r="K45" s="120">
        <f t="shared" si="18"/>
        <v>0</v>
      </c>
      <c r="L45" s="116">
        <f>IF($K$49=0,0,K45/$K$49)</f>
        <v>0</v>
      </c>
      <c r="M45" s="110">
        <f t="shared" si="106"/>
        <v>0</v>
      </c>
      <c r="N45" s="127">
        <f t="shared" si="3"/>
        <v>0</v>
      </c>
      <c r="O45" s="128">
        <f>IF($N$49=0,0,N45/$N$49)</f>
        <v>0</v>
      </c>
      <c r="P45" s="129">
        <f t="shared" si="5"/>
        <v>0</v>
      </c>
      <c r="Q45" s="127">
        <f t="shared" si="75"/>
        <v>0</v>
      </c>
      <c r="R45" s="128">
        <f>IF($Q$49=0,0,Q45/$Q$49)</f>
        <v>0</v>
      </c>
      <c r="S45" s="129">
        <f t="shared" si="47"/>
        <v>0</v>
      </c>
      <c r="T45" s="130">
        <f t="shared" si="19"/>
        <v>0</v>
      </c>
      <c r="U45" s="147">
        <f t="shared" si="110"/>
        <v>0</v>
      </c>
      <c r="X45" s="155">
        <v>0</v>
      </c>
      <c r="Y45" s="156">
        <v>0</v>
      </c>
      <c r="Z45" s="156">
        <v>0</v>
      </c>
      <c r="AA45" s="156">
        <v>0</v>
      </c>
      <c r="AB45" s="157">
        <v>0</v>
      </c>
      <c r="AD45" s="73">
        <v>0</v>
      </c>
      <c r="AE45" s="74">
        <v>0</v>
      </c>
      <c r="AF45" s="74">
        <v>0</v>
      </c>
      <c r="AG45" s="74">
        <v>0</v>
      </c>
      <c r="AH45" s="75">
        <v>0</v>
      </c>
      <c r="AJ45" s="161">
        <v>0</v>
      </c>
      <c r="AK45" s="359">
        <f t="shared" si="11"/>
        <v>1</v>
      </c>
      <c r="AM45" s="166">
        <f t="shared" si="111"/>
        <v>0</v>
      </c>
      <c r="AN45" s="167">
        <f t="shared" si="111"/>
        <v>0</v>
      </c>
      <c r="AO45" s="167">
        <f t="shared" si="111"/>
        <v>0</v>
      </c>
      <c r="AP45" s="167">
        <f t="shared" si="111"/>
        <v>0</v>
      </c>
      <c r="AQ45" s="168">
        <f t="shared" si="111"/>
        <v>0</v>
      </c>
    </row>
    <row r="46" spans="2:43" ht="18.75" x14ac:dyDescent="0.25">
      <c r="B46" s="246"/>
      <c r="C46" s="96"/>
      <c r="D46" s="102"/>
      <c r="E46" s="105">
        <v>2</v>
      </c>
      <c r="F46" s="101">
        <v>0</v>
      </c>
      <c r="G46" s="101">
        <v>0</v>
      </c>
      <c r="H46" s="101">
        <v>0</v>
      </c>
      <c r="I46" s="12"/>
      <c r="J46" s="197"/>
      <c r="K46" s="120">
        <f t="shared" ref="K46:K47" si="124">F46*SUM(G46:J46)</f>
        <v>0</v>
      </c>
      <c r="L46" s="116">
        <f t="shared" ref="L46:L47" si="125">IF($K$49=0,0,K46/$K$49)</f>
        <v>0</v>
      </c>
      <c r="M46" s="110">
        <f t="shared" ref="M46:M47" si="126">SUMPRODUCT(($M$9=$X$9:$AB$9)*(X46:AB46))</f>
        <v>0</v>
      </c>
      <c r="N46" s="127">
        <f t="shared" ref="N46:N47" si="127">K46*M46</f>
        <v>0</v>
      </c>
      <c r="O46" s="128">
        <f t="shared" ref="O46:O47" si="128">IF($N$49=0,0,N46/$N$49)</f>
        <v>0</v>
      </c>
      <c r="P46" s="129">
        <f t="shared" ref="P46:P47" si="129">IF(F46=0,0,N46/F46)</f>
        <v>0</v>
      </c>
      <c r="Q46" s="127">
        <f t="shared" si="75"/>
        <v>0</v>
      </c>
      <c r="R46" s="128">
        <f>IF($Q$49=0,0,Q46/$Q$49)</f>
        <v>0</v>
      </c>
      <c r="S46" s="129">
        <f t="shared" si="47"/>
        <v>0</v>
      </c>
      <c r="T46" s="130">
        <f t="shared" si="19"/>
        <v>0</v>
      </c>
      <c r="U46" s="147">
        <f t="shared" si="110"/>
        <v>0</v>
      </c>
      <c r="X46" s="155">
        <v>0</v>
      </c>
      <c r="Y46" s="156">
        <v>0</v>
      </c>
      <c r="Z46" s="156">
        <v>0</v>
      </c>
      <c r="AA46" s="156">
        <v>0</v>
      </c>
      <c r="AB46" s="157">
        <v>0</v>
      </c>
      <c r="AD46" s="73">
        <v>0</v>
      </c>
      <c r="AE46" s="74">
        <v>0</v>
      </c>
      <c r="AF46" s="74">
        <v>0</v>
      </c>
      <c r="AG46" s="74">
        <v>0</v>
      </c>
      <c r="AH46" s="75">
        <v>0</v>
      </c>
      <c r="AJ46" s="161">
        <v>0</v>
      </c>
      <c r="AK46" s="359">
        <f t="shared" si="11"/>
        <v>1</v>
      </c>
      <c r="AM46" s="166">
        <f t="shared" si="111"/>
        <v>0</v>
      </c>
      <c r="AN46" s="167">
        <f t="shared" si="111"/>
        <v>0</v>
      </c>
      <c r="AO46" s="167">
        <f t="shared" si="111"/>
        <v>0</v>
      </c>
      <c r="AP46" s="167">
        <f t="shared" si="111"/>
        <v>0</v>
      </c>
      <c r="AQ46" s="168">
        <f t="shared" si="111"/>
        <v>0</v>
      </c>
    </row>
    <row r="47" spans="2:43" ht="18.75" x14ac:dyDescent="0.25">
      <c r="B47" s="246"/>
      <c r="C47" s="96"/>
      <c r="D47" s="102"/>
      <c r="E47" s="105">
        <v>2</v>
      </c>
      <c r="F47" s="101">
        <v>0</v>
      </c>
      <c r="G47" s="101">
        <v>0</v>
      </c>
      <c r="H47" s="101">
        <v>0</v>
      </c>
      <c r="I47" s="12"/>
      <c r="J47" s="197"/>
      <c r="K47" s="120">
        <f t="shared" si="124"/>
        <v>0</v>
      </c>
      <c r="L47" s="116">
        <f t="shared" si="125"/>
        <v>0</v>
      </c>
      <c r="M47" s="110">
        <f t="shared" si="126"/>
        <v>0</v>
      </c>
      <c r="N47" s="127">
        <f t="shared" si="127"/>
        <v>0</v>
      </c>
      <c r="O47" s="128">
        <f t="shared" si="128"/>
        <v>0</v>
      </c>
      <c r="P47" s="129">
        <f t="shared" si="129"/>
        <v>0</v>
      </c>
      <c r="Q47" s="127">
        <f t="shared" si="75"/>
        <v>0</v>
      </c>
      <c r="R47" s="128">
        <f>IF($Q$49=0,0,Q47/$Q$49)</f>
        <v>0</v>
      </c>
      <c r="S47" s="129">
        <f t="shared" si="47"/>
        <v>0</v>
      </c>
      <c r="T47" s="130">
        <f t="shared" si="19"/>
        <v>0</v>
      </c>
      <c r="U47" s="147">
        <f t="shared" si="110"/>
        <v>0</v>
      </c>
      <c r="X47" s="155">
        <v>0</v>
      </c>
      <c r="Y47" s="156">
        <v>0</v>
      </c>
      <c r="Z47" s="156">
        <v>0</v>
      </c>
      <c r="AA47" s="156">
        <v>0</v>
      </c>
      <c r="AB47" s="157">
        <v>0</v>
      </c>
      <c r="AD47" s="73">
        <v>0</v>
      </c>
      <c r="AE47" s="74">
        <v>0</v>
      </c>
      <c r="AF47" s="74">
        <v>0</v>
      </c>
      <c r="AG47" s="74">
        <v>0</v>
      </c>
      <c r="AH47" s="75">
        <v>0</v>
      </c>
      <c r="AJ47" s="161">
        <v>0</v>
      </c>
      <c r="AK47" s="359">
        <f t="shared" si="11"/>
        <v>1</v>
      </c>
      <c r="AM47" s="166">
        <f t="shared" si="111"/>
        <v>0</v>
      </c>
      <c r="AN47" s="167">
        <f t="shared" si="111"/>
        <v>0</v>
      </c>
      <c r="AO47" s="167">
        <f t="shared" si="111"/>
        <v>0</v>
      </c>
      <c r="AP47" s="167">
        <f t="shared" si="111"/>
        <v>0</v>
      </c>
      <c r="AQ47" s="168">
        <f t="shared" si="111"/>
        <v>0</v>
      </c>
    </row>
    <row r="48" spans="2:43" ht="18.75" x14ac:dyDescent="0.25">
      <c r="B48" s="246"/>
      <c r="C48" s="96"/>
      <c r="D48" s="102"/>
      <c r="E48" s="105">
        <v>2</v>
      </c>
      <c r="F48" s="101">
        <v>0</v>
      </c>
      <c r="G48" s="101">
        <v>0</v>
      </c>
      <c r="H48" s="101">
        <v>0</v>
      </c>
      <c r="I48" s="12"/>
      <c r="J48" s="197"/>
      <c r="K48" s="120">
        <f t="shared" si="18"/>
        <v>0</v>
      </c>
      <c r="L48" s="116">
        <f>IF($K$49=0,0,K48/$K$49)</f>
        <v>0</v>
      </c>
      <c r="M48" s="110">
        <f>SUMPRODUCT(($M$9=$X$9:$AB$9)*(X48:AB48))</f>
        <v>0</v>
      </c>
      <c r="N48" s="127">
        <f t="shared" si="3"/>
        <v>0</v>
      </c>
      <c r="O48" s="128">
        <f>IF($N$49=0,0,N48/$N$49)</f>
        <v>0</v>
      </c>
      <c r="P48" s="129">
        <f t="shared" si="5"/>
        <v>0</v>
      </c>
      <c r="Q48" s="127">
        <f t="shared" si="75"/>
        <v>0</v>
      </c>
      <c r="R48" s="128">
        <f>IF($Q$49=0,0,Q48/$Q$49)</f>
        <v>0</v>
      </c>
      <c r="S48" s="129">
        <f t="shared" si="47"/>
        <v>0</v>
      </c>
      <c r="T48" s="130">
        <f t="shared" si="19"/>
        <v>0</v>
      </c>
      <c r="U48" s="147">
        <f t="shared" si="110"/>
        <v>0.03</v>
      </c>
      <c r="X48" s="158">
        <v>0</v>
      </c>
      <c r="Y48" s="159">
        <v>0</v>
      </c>
      <c r="Z48" s="159">
        <v>0</v>
      </c>
      <c r="AA48" s="159">
        <v>0</v>
      </c>
      <c r="AB48" s="160">
        <v>0</v>
      </c>
      <c r="AD48" s="79">
        <v>0.01</v>
      </c>
      <c r="AE48" s="80">
        <v>0.02</v>
      </c>
      <c r="AF48" s="80">
        <v>0.03</v>
      </c>
      <c r="AG48" s="80">
        <v>0.03</v>
      </c>
      <c r="AH48" s="81">
        <v>0.04</v>
      </c>
      <c r="AJ48" s="162">
        <v>0</v>
      </c>
      <c r="AK48" s="360">
        <f t="shared" si="11"/>
        <v>1</v>
      </c>
      <c r="AM48" s="166">
        <f t="shared" si="111"/>
        <v>0</v>
      </c>
      <c r="AN48" s="167">
        <f t="shared" si="111"/>
        <v>0</v>
      </c>
      <c r="AO48" s="167">
        <f t="shared" si="111"/>
        <v>0</v>
      </c>
      <c r="AP48" s="167">
        <f t="shared" si="111"/>
        <v>0</v>
      </c>
      <c r="AQ48" s="168">
        <f t="shared" si="111"/>
        <v>0</v>
      </c>
    </row>
    <row r="49" spans="2:43" ht="23.25" customHeight="1" x14ac:dyDescent="0.25">
      <c r="B49" s="175" t="s">
        <v>8</v>
      </c>
      <c r="C49" s="176"/>
      <c r="D49" s="176"/>
      <c r="E49" s="177"/>
      <c r="F49" s="176"/>
      <c r="G49" s="178">
        <f>SUMPRODUCT(G10:G48,$F$10:$F$48)</f>
        <v>447006.51333333331</v>
      </c>
      <c r="H49" s="178">
        <f>SUMPRODUCT(H10:H48,$F$10:$F$48)</f>
        <v>7648800</v>
      </c>
      <c r="I49" s="178"/>
      <c r="J49" s="178">
        <f>SUMPRODUCT(J10:J48,$F$10:$F$48)</f>
        <v>190642.75199999998</v>
      </c>
      <c r="K49" s="178">
        <f>SUM(K10:K48)</f>
        <v>8286449.2653333331</v>
      </c>
      <c r="L49" s="179"/>
      <c r="M49" s="180">
        <f>IF(K49=0,"-",N49/K49)</f>
        <v>2.5249499453923643E-2</v>
      </c>
      <c r="N49" s="181">
        <f>SUM(N10:N48)</f>
        <v>209228.69619999998</v>
      </c>
      <c r="O49" s="176"/>
      <c r="P49" s="179"/>
      <c r="Q49" s="181">
        <f>SUM(Q10:Q48)-J49</f>
        <v>648097.71233333321</v>
      </c>
      <c r="R49" s="176"/>
      <c r="S49" s="179"/>
      <c r="T49" s="182">
        <f>IF(Q49=0,"-",N49/Q49)</f>
        <v>0.32283510991995035</v>
      </c>
      <c r="U49" s="183">
        <f>IF(K49=0,"-",Q49/K49)</f>
        <v>7.8211751690156844E-2</v>
      </c>
      <c r="AM49" s="82">
        <f>SUM(AM20:AM48)</f>
        <v>178622.94399999999</v>
      </c>
      <c r="AN49" s="82">
        <f>SUM(AN20:AN48)</f>
        <v>196699.51999999999</v>
      </c>
      <c r="AO49" s="82">
        <f>SUM(AO20:AO48)</f>
        <v>131041.44</v>
      </c>
      <c r="AP49" s="82">
        <f>SUM(AP20:AP48)</f>
        <v>190642.75199999998</v>
      </c>
      <c r="AQ49" s="82">
        <f>SUM(AQ20:AQ48)</f>
        <v>260247.10399999993</v>
      </c>
    </row>
    <row r="50" spans="2:43" x14ac:dyDescent="0.25">
      <c r="AD50" s="240" t="s">
        <v>43</v>
      </c>
      <c r="AE50" s="241"/>
      <c r="AF50" s="241"/>
      <c r="AG50" s="241"/>
      <c r="AH50" s="242"/>
      <c r="AM50" s="83">
        <f>SUMPRODUCT(AM10:AM19,$F$10:$F$19)-AM49</f>
        <v>15921.639999999985</v>
      </c>
      <c r="AN50" s="83">
        <f>SUMPRODUCT(AN10:AN19,$F$10:$F$19)-AN49</f>
        <v>17986.079999999987</v>
      </c>
      <c r="AO50" s="83">
        <f>SUMPRODUCT(AO10:AO19,$F$10:$F$19)-AO49</f>
        <v>16487.239999999991</v>
      </c>
      <c r="AP50" s="83">
        <f>SUMPRODUCT(AP10:AP19,$F$10:$F$19)-AP49</f>
        <v>19004.160000000003</v>
      </c>
      <c r="AQ50" s="83">
        <f>SUMPRODUCT(AQ10:AQ19,$F$10:$F$19)-AQ49</f>
        <v>24716.72000000003</v>
      </c>
    </row>
    <row r="51" spans="2:43" ht="14.25" customHeight="1" x14ac:dyDescent="0.25">
      <c r="F51" t="s">
        <v>21</v>
      </c>
      <c r="G51" s="1" t="s">
        <v>22</v>
      </c>
      <c r="H51" s="1"/>
      <c r="I51" s="1"/>
      <c r="K51" s="84"/>
      <c r="N51" s="78"/>
      <c r="U51" s="85"/>
      <c r="AD51" s="86" t="str">
        <f>AD9</f>
        <v>Mínimo</v>
      </c>
      <c r="AE51" s="87" t="str">
        <f>AE9</f>
        <v>Tendencia</v>
      </c>
      <c r="AF51" s="87" t="str">
        <f>AF9</f>
        <v>Esperado</v>
      </c>
      <c r="AG51" s="87" t="str">
        <f>AG9</f>
        <v>Promedio</v>
      </c>
      <c r="AH51" s="88" t="str">
        <f>AH9</f>
        <v>Máximo</v>
      </c>
      <c r="AM51" s="61" t="str">
        <f>IF(AM50&lt;0,"Error Has","Ok Has")</f>
        <v>Ok Has</v>
      </c>
      <c r="AN51" s="61" t="str">
        <f t="shared" ref="AN51:AQ51" si="130">IF(AN50&lt;0,"Error Has","Ok Has")</f>
        <v>Ok Has</v>
      </c>
      <c r="AO51" s="61" t="str">
        <f t="shared" si="130"/>
        <v>Ok Has</v>
      </c>
      <c r="AP51" s="61" t="str">
        <f t="shared" si="130"/>
        <v>Ok Has</v>
      </c>
      <c r="AQ51" s="61" t="str">
        <f t="shared" si="130"/>
        <v>Ok Has</v>
      </c>
    </row>
    <row r="52" spans="2:43" x14ac:dyDescent="0.25">
      <c r="B52" s="269" t="s">
        <v>59</v>
      </c>
      <c r="C52" s="270"/>
      <c r="D52" s="270"/>
      <c r="E52" s="7" t="s">
        <v>36</v>
      </c>
      <c r="F52" s="188">
        <f>1000000/60</f>
        <v>16666.666666666668</v>
      </c>
      <c r="G52" s="189">
        <v>7.0000000000000007E-2</v>
      </c>
      <c r="H52" s="1"/>
      <c r="I52" s="1"/>
      <c r="AD52" s="89">
        <f>SUMPRODUCT(AD10:AD48,$K$10:$K$48)-AM49</f>
        <v>436359.17653333314</v>
      </c>
      <c r="AE52" s="90">
        <f>SUMPRODUCT(AE10:AE48,$K$10:$K$48)-AN49</f>
        <v>633314.33205333329</v>
      </c>
      <c r="AF52" s="90">
        <f>SUMPRODUCT(AF10:AF48,$K$10:$K$48)-AO49</f>
        <v>654724.97872000001</v>
      </c>
      <c r="AG52" s="90">
        <f>SUMPRODUCT(AG10:AG48,$K$10:$K$48)-AP49</f>
        <v>648097.71233333321</v>
      </c>
      <c r="AH52" s="91">
        <f>SUMPRODUCT(AH10:AH48,$K$10:$K$48)-AQ49</f>
        <v>772121.60825333325</v>
      </c>
    </row>
    <row r="53" spans="2:43" x14ac:dyDescent="0.25">
      <c r="B53" s="271"/>
      <c r="C53" s="272"/>
      <c r="D53" s="272"/>
      <c r="E53" s="8" t="s">
        <v>98</v>
      </c>
      <c r="F53" s="190">
        <v>0</v>
      </c>
      <c r="G53" s="191">
        <v>0.02</v>
      </c>
      <c r="H53" s="1"/>
      <c r="I53" s="1"/>
      <c r="AC53" s="254" t="s">
        <v>36</v>
      </c>
      <c r="AD53" s="89">
        <f>SUMPRODUCT(AD10:AD48,$K$10:$K$48,$AJ$10:$AJ$48)-SUMPRODUCT($AJ$20:$AJ$29,AM20:AM29)</f>
        <v>216297.35493333332</v>
      </c>
      <c r="AE53" s="90">
        <f>SUMPRODUCT(AE10:AE48,$K$10:$K$48,$AJ$10:$AJ$48)-SUMPRODUCT($AJ$20:$AJ$29,AN20:AN29)</f>
        <v>258002.58305333328</v>
      </c>
      <c r="AF53" s="90">
        <f>SUMPRODUCT(AF10:AF48,$K$10:$K$48,$AJ$10:$AJ$48)-SUMPRODUCT($AJ$20:$AJ$29,AO20:AO29)</f>
        <v>314491.88271999999</v>
      </c>
      <c r="AG53" s="90">
        <f>SUMPRODUCT(AG10:AG48,$K$10:$K$48,$AJ$10:$AJ$48)-SUMPRODUCT($AJ$20:$AJ$29,AP20:AP29)</f>
        <v>274561.16273333336</v>
      </c>
      <c r="AH53" s="91">
        <f>SUMPRODUCT(AH10:AH48,$K$10:$K$48,$AJ$10:$AJ$48)-SUMPRODUCT($AJ$20:$AJ$29,AQ20:AQ29)</f>
        <v>269044.73465333326</v>
      </c>
    </row>
    <row r="54" spans="2:43" x14ac:dyDescent="0.25">
      <c r="B54" s="269" t="s">
        <v>60</v>
      </c>
      <c r="C54" s="270"/>
      <c r="D54" s="270"/>
      <c r="E54" s="7" t="s">
        <v>36</v>
      </c>
      <c r="F54" s="188">
        <f>1400000/60</f>
        <v>23333.333333333332</v>
      </c>
      <c r="G54" s="189">
        <v>7.0000000000000007E-2</v>
      </c>
      <c r="H54" s="1"/>
      <c r="I54" s="1"/>
      <c r="AC54" s="255"/>
      <c r="AD54" s="92">
        <f>AD53/AD52</f>
        <v>0.49568650452527047</v>
      </c>
      <c r="AE54" s="93">
        <f t="shared" ref="AE54:AH54" si="131">AE53/AE52</f>
        <v>0.40738472192289832</v>
      </c>
      <c r="AF54" s="93">
        <f t="shared" si="131"/>
        <v>0.48034196485803504</v>
      </c>
      <c r="AG54" s="93">
        <f t="shared" si="131"/>
        <v>0.42364161685563789</v>
      </c>
      <c r="AH54" s="94">
        <f t="shared" si="131"/>
        <v>0.34844865339535946</v>
      </c>
    </row>
    <row r="55" spans="2:43" x14ac:dyDescent="0.25">
      <c r="B55" s="271"/>
      <c r="C55" s="272"/>
      <c r="D55" s="272"/>
      <c r="E55" s="8" t="s">
        <v>98</v>
      </c>
      <c r="F55" s="190">
        <v>0</v>
      </c>
      <c r="G55" s="191">
        <v>0.03</v>
      </c>
      <c r="H55" s="1"/>
      <c r="I55" s="1"/>
      <c r="AC55" s="254" t="s">
        <v>98</v>
      </c>
      <c r="AD55" s="89">
        <f>SUMPRODUCT(AD10:AD48,$K$10:$K$48,$AK$10:$AK$48)-SUMPRODUCT($AK$20:$AK$29,AM20:AM29)</f>
        <v>220061.82159999997</v>
      </c>
      <c r="AE55" s="90">
        <f>SUMPRODUCT(AE10:AE48,$K$10:$K$48,$AK$10:$AK$48)-SUMPRODUCT($AK$20:$AK$29,AN20:AN29)</f>
        <v>375311.74899999995</v>
      </c>
      <c r="AF55" s="90">
        <f>SUMPRODUCT(AF10:AF48,$K$10:$K$48,$AK$10:$AK$48)-SUMPRODUCT($AK$20:$AK$29,AO20:AO29)</f>
        <v>340233.09599999996</v>
      </c>
      <c r="AG55" s="90">
        <f>SUMPRODUCT(AG10:AG48,$K$10:$K$48,$AK$10:$AK$48)-SUMPRODUCT($AK$20:$AK$29,AP20:AP29)</f>
        <v>373536.54959999997</v>
      </c>
      <c r="AH55" s="91">
        <f>SUMPRODUCT(AH10:AH48,$K$10:$K$48,$AK$10:$AK$48)-SUMPRODUCT($AK$20:$AK$29,AQ20:AQ29)</f>
        <v>503076.87360000005</v>
      </c>
    </row>
    <row r="56" spans="2:43" x14ac:dyDescent="0.25">
      <c r="B56" s="264" t="s">
        <v>23</v>
      </c>
      <c r="C56" s="265"/>
      <c r="D56" s="265"/>
      <c r="E56" s="266"/>
      <c r="F56" s="192">
        <v>0</v>
      </c>
      <c r="G56" s="191">
        <v>0</v>
      </c>
      <c r="H56" s="1"/>
      <c r="I56" s="1"/>
      <c r="AC56" s="255"/>
      <c r="AD56" s="92">
        <f>AD55/AD52</f>
        <v>0.50431349547472992</v>
      </c>
      <c r="AE56" s="93">
        <f t="shared" ref="AE56:AH56" si="132">AE55/AE52</f>
        <v>0.59261527807710157</v>
      </c>
      <c r="AF56" s="93">
        <f t="shared" si="132"/>
        <v>0.51965803514196485</v>
      </c>
      <c r="AG56" s="93">
        <f t="shared" si="132"/>
        <v>0.57635838314436227</v>
      </c>
      <c r="AH56" s="94">
        <f t="shared" si="132"/>
        <v>0.65155134660464054</v>
      </c>
    </row>
    <row r="57" spans="2:43" ht="27.75" customHeight="1" x14ac:dyDescent="0.25">
      <c r="B57" s="184" t="s">
        <v>8</v>
      </c>
      <c r="C57" s="184"/>
      <c r="D57" s="184"/>
      <c r="E57" s="185"/>
      <c r="F57" s="186">
        <f>SUM(F52:F56)</f>
        <v>40000</v>
      </c>
      <c r="G57" s="187">
        <f>IF(SUM(F52:F56)=0,AVERAGE(G52:G56),SUMPRODUCT(F52:F56,G52:G56)/$F$57)</f>
        <v>7.0000000000000007E-2</v>
      </c>
      <c r="H57" s="14"/>
      <c r="I57" s="1"/>
      <c r="K57" s="78"/>
    </row>
    <row r="58" spans="2:43" x14ac:dyDescent="0.25"/>
  </sheetData>
  <sheetProtection sheet="1" objects="1" scenarios="1"/>
  <dataConsolidate/>
  <mergeCells count="30">
    <mergeCell ref="AY7:BA7"/>
    <mergeCell ref="N9:O9"/>
    <mergeCell ref="B56:E56"/>
    <mergeCell ref="T8:T9"/>
    <mergeCell ref="B52:D53"/>
    <mergeCell ref="B54:D55"/>
    <mergeCell ref="B44:B48"/>
    <mergeCell ref="F8:F9"/>
    <mergeCell ref="B20:B24"/>
    <mergeCell ref="B25:B29"/>
    <mergeCell ref="N8:P8"/>
    <mergeCell ref="B8:D8"/>
    <mergeCell ref="B37:B43"/>
    <mergeCell ref="E8:E9"/>
    <mergeCell ref="AM8:AQ8"/>
    <mergeCell ref="AD50:AH50"/>
    <mergeCell ref="AC53:AC54"/>
    <mergeCell ref="AC55:AC56"/>
    <mergeCell ref="B30:B36"/>
    <mergeCell ref="I9:J9"/>
    <mergeCell ref="Q8:S8"/>
    <mergeCell ref="Q9:R9"/>
    <mergeCell ref="AD8:AH8"/>
    <mergeCell ref="AJ8:AK8"/>
    <mergeCell ref="X8:AB8"/>
    <mergeCell ref="B10:B19"/>
    <mergeCell ref="G8:J8"/>
    <mergeCell ref="U8:U9"/>
    <mergeCell ref="K8:L8"/>
    <mergeCell ref="K9:L9"/>
  </mergeCells>
  <conditionalFormatting sqref="E10:E41 E44:E48">
    <cfRule type="iconSet" priority="44">
      <iconSet showValue="0" reverse="1">
        <cfvo type="percent" val="0"/>
        <cfvo type="percent" val="33"/>
        <cfvo type="percent" val="67"/>
      </iconSet>
    </cfRule>
  </conditionalFormatting>
  <conditionalFormatting sqref="E42">
    <cfRule type="iconSet" priority="4">
      <iconSet showValue="0" reverse="1">
        <cfvo type="percent" val="0"/>
        <cfvo type="percent" val="33"/>
        <cfvo type="percent" val="67"/>
      </iconSet>
    </cfRule>
  </conditionalFormatting>
  <conditionalFormatting sqref="E43">
    <cfRule type="iconSet" priority="3">
      <iconSet showValue="0" reverse="1">
        <cfvo type="percent" val="0"/>
        <cfvo type="percent" val="33"/>
        <cfvo type="percent" val="67"/>
      </iconSet>
    </cfRule>
  </conditionalFormatting>
  <conditionalFormatting sqref="AV10">
    <cfRule type="iconSet" priority="2">
      <iconSet showValue="0" reverse="1">
        <cfvo type="percent" val="0"/>
        <cfvo type="num" val="1" gte="0"/>
        <cfvo type="num" val="3"/>
      </iconSet>
    </cfRule>
  </conditionalFormatting>
  <conditionalFormatting sqref="AV11:AV12">
    <cfRule type="iconSet" priority="1">
      <iconSet showValue="0" reverse="1">
        <cfvo type="percent" val="0"/>
        <cfvo type="num" val="1" gte="0"/>
        <cfvo type="num" val="3"/>
      </iconSet>
    </cfRule>
  </conditionalFormatting>
  <dataValidations xWindow="475" yWindow="441" count="35">
    <dataValidation type="list" allowBlank="1" showInputMessage="1" showErrorMessage="1" sqref="M9" xr:uid="{00000000-0002-0000-0200-000000000000}">
      <formula1>$X$9:$AB$9</formula1>
    </dataValidation>
    <dataValidation type="list" allowBlank="1" showInputMessage="1" showErrorMessage="1" promptTitle="INMOBILIARIO RURAL" prompt="Colocar la letra del campo que pertenece para calcular el costo de oportunidad de la tierra." sqref="I25:I28" xr:uid="{00000000-0002-0000-0200-000001000000}">
      <formula1>$C$10:$C$19</formula1>
    </dataValidation>
    <dataValidation allowBlank="1" showInputMessage="1" showErrorMessage="1" promptTitle="HECTÁREAS" prompt="Cargar la cantidad de Hectáreas del Activo Inmobiliario descripto." sqref="F10:F19" xr:uid="{7D17A08A-7006-45E0-AB54-162F881AF7A6}"/>
    <dataValidation allowBlank="1" showInputMessage="1" showErrorMessage="1" promptTitle="VALOR USD/UNIDAD" prompt="Colocar el valor en dólares del activo inmobiliario descripto." sqref="H10:H19" xr:uid="{725F2C8D-7C53-46D1-BFD1-F485A93FA7F8}"/>
    <dataValidation allowBlank="1" showInputMessage="1" showErrorMessage="1" promptTitle="CANTIDAD MAQUINAS" prompt="Cantidad de máquinas" sqref="F37:F42" xr:uid="{DABB6EBC-7CB7-4839-87A3-EBE3A564ACD4}"/>
    <dataValidation allowBlank="1" showInputMessage="1" showErrorMessage="1" promptTitle="Riesgo del Activo" prompt="Colocar:_x000a_1 = Riesgo Bajo (Ej: Inmobiliario, cría)_x000a_2 = Riesgo Medio (Ej: Maquinaria, ganadería)_x000a_3 = Riesgo Alto (Ej: Agricultura)" sqref="E10:E48" xr:uid="{573A9370-4343-4A03-B1E9-9CAD387E8035}"/>
    <dataValidation allowBlank="1" showInputMessage="1" showErrorMessage="1" promptTitle="CENTRO DE COSTO" prompt="CARGAR LOS ESTABLECIMIENTOS._x000a_ZONA + ACTIVIDAD" sqref="D10:D19" xr:uid="{FB636577-AA49-4F22-80EC-8E4D7F44F78F}"/>
    <dataValidation allowBlank="1" showInputMessage="1" showErrorMessage="1" promptTitle="GRANOS" prompt="Colocar granos en sementera disponibles." sqref="D20:D24" xr:uid="{E4F3F5E1-29E4-41BF-ADF9-902E51AFC09E}"/>
    <dataValidation allowBlank="1" showInputMessage="1" showErrorMessage="1" promptTitle="HACIENDA EN CAMPO PROPIO" prompt="Colocar categorías de hacienda en campo propio." sqref="D25:D29" xr:uid="{6B87CAF8-C755-4985-A990-2B6B57D52385}"/>
    <dataValidation allowBlank="1" showInputMessage="1" showErrorMessage="1" promptTitle="HACIENDA EN CAMPO ARRENDADO" prompt="Describir categorías de hacienda en campo arrendado." sqref="D30:D36" xr:uid="{F932F2D8-D895-45FB-A8DB-49251036644C}"/>
    <dataValidation allowBlank="1" showInputMessage="1" showErrorMessage="1" promptTitle="ACTIVIDADES INTERMEDIAS" prompt="Describir maquinaria y vehículos disponibles, " sqref="D37:D43" xr:uid="{9FC0FE33-599A-4747-8AE6-CE534B92108F}"/>
    <dataValidation allowBlank="1" showInputMessage="1" showErrorMessage="1" promptTitle="OTROS ACTIVOS O ACTIVIDADES" prompt="Describir otros activos o actividades existentes" sqref="D44:D48" xr:uid="{4307A23C-45DC-4601-8890-2C6EC73092CB}"/>
    <dataValidation allowBlank="1" showInputMessage="1" showErrorMessage="1" promptTitle="HACIENDA CAMPO PROPIO" prompt="Cargar cantidad de hacienda por categoría en campo propio._x000a_Tambien se puede cargar las hectáreas y valorizar ponderado los AC y ANC." sqref="F25:F29" xr:uid="{46D5AE1B-3D25-4D4F-8CD1-BA4D79DEEBAC}"/>
    <dataValidation allowBlank="1" showInputMessage="1" showErrorMessage="1" promptTitle="HACIENDA EN CAMPO ARRENDADO" prompt="Cargar cantidad de hacienda por categoría en campo arrendado._x000a_Tambien se puede cargar las hectáreas y valorizar ponderado los AC y ANC." sqref="F30:F36" xr:uid="{B2C74556-0681-473F-9AD4-99176DD3BC50}"/>
    <dataValidation allowBlank="1" showInputMessage="1" showErrorMessage="1" promptTitle="COSTO" prompt="Colocar costo de la actividad gerenciamiento._x000a_" sqref="G43" xr:uid="{1C900CFB-4B2F-415D-B2BD-10694BA07FD4}"/>
    <dataValidation allowBlank="1" showInputMessage="1" showErrorMessage="1" promptTitle="GERENCIAMIENTO" prompt="Colocar el costo de gerenciamiento." sqref="F43" xr:uid="{18065A11-0231-4438-BA51-F58878B5B58B}"/>
    <dataValidation allowBlank="1" showInputMessage="1" showErrorMessage="1" promptTitle="% ACTIVOS" prompt="Porcentaje de los activos de Riesgo Bajo en el portfolio total de activos._x000a_" sqref="AY10" xr:uid="{82FF99C3-314B-4DB4-8807-5A4CE99D5096}"/>
    <dataValidation allowBlank="1" showInputMessage="1" showErrorMessage="1" promptTitle="% ACTIVOS" prompt="Porcentaje de los activos de Riesgo Medio en el portfolio total de activos._x000a_" sqref="AY11" xr:uid="{C8090B1D-26F2-4F87-BEB1-E77A5E1326ED}"/>
    <dataValidation allowBlank="1" showInputMessage="1" showErrorMessage="1" promptTitle="% ACTIVOS" prompt="Porcentaje de los activos de Riesgo Alto en el portfolio total de activos._x000a_" sqref="AY12" xr:uid="{F8A67E09-8E89-4647-9D2B-141E8FB5A2D2}"/>
    <dataValidation allowBlank="1" showInputMessage="1" showErrorMessage="1" promptTitle="% RRP" prompt="Porcentaje del Resultado por Producción que generan los Activos de Bajo Riesgo." sqref="AZ10" xr:uid="{3BB89BA5-89CB-4C80-96FE-1D71538289C0}"/>
    <dataValidation allowBlank="1" showInputMessage="1" showErrorMessage="1" promptTitle="% RRP" prompt="Porcentaje del Resultado por Producción que generan los Activos de Riesgo Medio." sqref="AZ11" xr:uid="{E86557DE-8B4E-448C-9DDD-671D95710985}"/>
    <dataValidation allowBlank="1" showInputMessage="1" showErrorMessage="1" promptTitle="% RRP" prompt="Porcentaje del Resultado por Producción que generan los Activos de Alto Riesgo." sqref="AZ12" xr:uid="{D91DCD43-9D24-4D11-9FC3-70AFFA272B03}"/>
    <dataValidation allowBlank="1" showInputMessage="1" showErrorMessage="1" promptTitle="Renta" prompt="Rentabilidad de los Activos de Riesgo Bajo. (RRP/Activos Riesgo Bajo)_x000a_" sqref="BA10" xr:uid="{17D0D1EA-F18C-4313-B047-300176A84865}"/>
    <dataValidation allowBlank="1" showInputMessage="1" showErrorMessage="1" prompt="Rentabilidad de los Activos de Riesgo Medio. (RRP/Activos Riesgo Medio)" sqref="BA11" xr:uid="{386E22EA-235E-4491-BAA1-109DAFF7D18C}"/>
    <dataValidation allowBlank="1" showInputMessage="1" showErrorMessage="1" prompt="Rentabilidad de los Activos de Riesgo Alto. (RRP/Activos Riesgo Alto)" sqref="BA12" xr:uid="{98E63262-C761-4261-8E9C-DFB723D52062}"/>
    <dataValidation allowBlank="1" showInputMessage="1" showErrorMessage="1" promptTitle="CARGAR HECTÁREAS" prompt="Cargar el número de hectáreas del cultivo seleccionado." sqref="F20:F24" xr:uid="{AD7D6511-2CB3-4A97-9466-2747BD011719}"/>
    <dataValidation allowBlank="1" showInputMessage="1" showErrorMessage="1" promptTitle="Activos Corrientes" prompt="Valorizar los Activos Corrientes por unidad de superficie (Valorización de las sementeras)." sqref="G20:G24" xr:uid="{B2174978-A512-4560-A7AB-EC47B848EFAE}"/>
    <dataValidation allowBlank="1" showInputMessage="1" showErrorMessage="1" promptTitle="Activos No Corrientes" prompt="Valorizar Activos No Corrientes por unidad de superficie, en el caso que haya alguno para adjudicarle a este campo (Ej: Bienes de Uso)_x000a_" sqref="H20:H24" xr:uid="{64D52BBC-D687-457A-977F-0BCE32D9F80B}"/>
    <dataValidation type="list" allowBlank="1" showInputMessage="1" showErrorMessage="1" promptTitle="INMOBILIARIO RURAL" prompt="Colocar la letra que corresponda al campo donde se realiza el cultivo. A partir de esto se calcula el Costo de Oportunidad de la tierra._x000a_" sqref="I20:I24" xr:uid="{1E350751-7670-44F8-B0BA-B686C963E705}">
      <formula1>$C$10:$C$19</formula1>
    </dataValidation>
    <dataValidation allowBlank="1" showInputMessage="1" showErrorMessage="1" promptTitle="Valorización Activos Corrientes" prompt="Valorizar Activos Corrientes (Terneros, Novillos, hacienda de invernada)" sqref="G25:G29" xr:uid="{12FAACA8-C56F-42E6-9CB0-30AB8BD96A77}"/>
    <dataValidation allowBlank="1" showInputMessage="1" showErrorMessage="1" promptTitle="Activos No Corrientes" prompt="Valorizar los Activos No Corrientes (Hacienda de Cría, etc.)_x000a_" sqref="H25:H29" xr:uid="{F8654BF0-467F-496B-9E6C-09D39328709C}"/>
    <dataValidation allowBlank="1" showInputMessage="1" showErrorMessage="1" promptTitle="ACTIVOS CORRIENTES" prompt="Valorizar la hacienda de invernada en campo arrendado." sqref="G30:G36" xr:uid="{A1A3671F-6D83-4157-8CB4-5A460F47C786}"/>
    <dataValidation allowBlank="1" showInputMessage="1" showErrorMessage="1" promptTitle="ACTIVOS NO CORRIENTES" prompt="Valorizar la hacienda de cría y demás bienes de uso que correspondan." sqref="H30:H36" xr:uid="{45196569-2639-49F9-886F-9342942C70E9}"/>
    <dataValidation allowBlank="1" showInputMessage="1" showErrorMessage="1" promptTitle="Valorizar Activos Corrientes" prompt="Valorizar los activos corrientes de las maquinas (Costos de personal, etc.)" sqref="G37:G42" xr:uid="{BAFBC8C8-26B8-48CC-AC8B-6F16872045F1}"/>
    <dataValidation allowBlank="1" showInputMessage="1" showErrorMessage="1" promptTitle="Activos No corrientes" prompt="Valorizar los activos no corrientes o bienes de uso (Maquinaria)" sqref="H37:H42" xr:uid="{2E900CF1-CCE7-4AC3-B20A-368DCC6A4F18}"/>
  </dataValidations>
  <hyperlinks>
    <hyperlink ref="B6" location="Instructivo!H59" display="Volver al Instructivo" xr:uid="{C758C528-5222-4C22-8F50-F2F0386ADBBB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120" orientation="landscape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8" id="{EDA10865-A1DF-4297-80C9-C2977D75D562}">
            <x14:iconSet iconSet="5Boxes">
              <x14:cfvo type="percent">
                <xm:f>0</xm:f>
              </x14:cfvo>
              <x14:cfvo type="percent">
                <xm:f>20</xm:f>
              </x14:cfvo>
              <x14:cfvo type="percent">
                <xm:f>40</xm:f>
              </x14:cfvo>
              <x14:cfvo type="percent">
                <xm:f>60</xm:f>
              </x14:cfvo>
              <x14:cfvo type="percent">
                <xm:f>80</xm:f>
              </x14:cfvo>
            </x14:iconSet>
          </x14:cfRule>
          <xm:sqref>R13</xm:sqref>
        </x14:conditionalFormatting>
        <x14:conditionalFormatting xmlns:xm="http://schemas.microsoft.com/office/excel/2006/main">
          <x14:cfRule type="iconSet" priority="27" id="{07C23910-1C6D-40A4-9217-F27D235AE764}">
            <x14:iconSet iconSet="5Boxes">
              <x14:cfvo type="percent">
                <xm:f>0</xm:f>
              </x14:cfvo>
              <x14:cfvo type="percent">
                <xm:f>20</xm:f>
              </x14:cfvo>
              <x14:cfvo type="percent">
                <xm:f>40</xm:f>
              </x14:cfvo>
              <x14:cfvo type="percent">
                <xm:f>60</xm:f>
              </x14:cfvo>
              <x14:cfvo type="percent">
                <xm:f>80</xm:f>
              </x14:cfvo>
            </x14:iconSet>
          </x14:cfRule>
          <xm:sqref>O13</xm:sqref>
        </x14:conditionalFormatting>
        <x14:conditionalFormatting xmlns:xm="http://schemas.microsoft.com/office/excel/2006/main">
          <x14:cfRule type="iconSet" priority="26" id="{85A2E025-1B63-40DC-B0B5-7535C0F7FDDB}">
            <x14:iconSet iconSet="5Boxes">
              <x14:cfvo type="percent">
                <xm:f>0</xm:f>
              </x14:cfvo>
              <x14:cfvo type="percent">
                <xm:f>20</xm:f>
              </x14:cfvo>
              <x14:cfvo type="percent">
                <xm:f>40</xm:f>
              </x14:cfvo>
              <x14:cfvo type="percent">
                <xm:f>60</xm:f>
              </x14:cfvo>
              <x14:cfvo type="percent">
                <xm:f>80</xm:f>
              </x14:cfvo>
            </x14:iconSet>
          </x14:cfRule>
          <xm:sqref>L13</xm:sqref>
        </x14:conditionalFormatting>
        <x14:conditionalFormatting xmlns:xm="http://schemas.microsoft.com/office/excel/2006/main">
          <x14:cfRule type="iconSet" priority="25" id="{133CB1C4-8D76-4105-A5EB-197B158CF388}">
            <x14:iconSet iconSet="5Boxes">
              <x14:cfvo type="percent">
                <xm:f>0</xm:f>
              </x14:cfvo>
              <x14:cfvo type="percent">
                <xm:f>20</xm:f>
              </x14:cfvo>
              <x14:cfvo type="percent">
                <xm:f>40</xm:f>
              </x14:cfvo>
              <x14:cfvo type="percent">
                <xm:f>60</xm:f>
              </x14:cfvo>
              <x14:cfvo type="percent">
                <xm:f>80</xm:f>
              </x14:cfvo>
            </x14:iconSet>
          </x14:cfRule>
          <xm:sqref>R15</xm:sqref>
        </x14:conditionalFormatting>
        <x14:conditionalFormatting xmlns:xm="http://schemas.microsoft.com/office/excel/2006/main">
          <x14:cfRule type="iconSet" priority="24" id="{D27CC4D0-A323-4A7D-8626-BC5DFEB7CBBA}">
            <x14:iconSet iconSet="5Boxes">
              <x14:cfvo type="percent">
                <xm:f>0</xm:f>
              </x14:cfvo>
              <x14:cfvo type="percent">
                <xm:f>20</xm:f>
              </x14:cfvo>
              <x14:cfvo type="percent">
                <xm:f>40</xm:f>
              </x14:cfvo>
              <x14:cfvo type="percent">
                <xm:f>60</xm:f>
              </x14:cfvo>
              <x14:cfvo type="percent">
                <xm:f>80</xm:f>
              </x14:cfvo>
            </x14:iconSet>
          </x14:cfRule>
          <xm:sqref>O15</xm:sqref>
        </x14:conditionalFormatting>
        <x14:conditionalFormatting xmlns:xm="http://schemas.microsoft.com/office/excel/2006/main">
          <x14:cfRule type="iconSet" priority="23" id="{E0441EC7-3C8F-4937-BAA0-7EC13CD883A0}">
            <x14:iconSet iconSet="5Boxes">
              <x14:cfvo type="percent">
                <xm:f>0</xm:f>
              </x14:cfvo>
              <x14:cfvo type="percent">
                <xm:f>20</xm:f>
              </x14:cfvo>
              <x14:cfvo type="percent">
                <xm:f>40</xm:f>
              </x14:cfvo>
              <x14:cfvo type="percent">
                <xm:f>60</xm:f>
              </x14:cfvo>
              <x14:cfvo type="percent">
                <xm:f>80</xm:f>
              </x14:cfvo>
            </x14:iconSet>
          </x14:cfRule>
          <xm:sqref>L15</xm:sqref>
        </x14:conditionalFormatting>
        <x14:conditionalFormatting xmlns:xm="http://schemas.microsoft.com/office/excel/2006/main">
          <x14:cfRule type="iconSet" priority="59" id="{03F8E084-EFD5-4977-BD1E-4FBD42D2C5B0}">
            <x14:iconSet iconSet="5Boxes">
              <x14:cfvo type="percent">
                <xm:f>0</xm:f>
              </x14:cfvo>
              <x14:cfvo type="percent">
                <xm:f>20</xm:f>
              </x14:cfvo>
              <x14:cfvo type="percent">
                <xm:f>40</xm:f>
              </x14:cfvo>
              <x14:cfvo type="percent">
                <xm:f>60</xm:f>
              </x14:cfvo>
              <x14:cfvo type="percent">
                <xm:f>80</xm:f>
              </x14:cfvo>
            </x14:iconSet>
          </x14:cfRule>
          <xm:sqref>R10:R12 R14 R16:R41 R44:R48</xm:sqref>
        </x14:conditionalFormatting>
        <x14:conditionalFormatting xmlns:xm="http://schemas.microsoft.com/office/excel/2006/main">
          <x14:cfRule type="iconSet" priority="63" id="{4FD16560-070A-4842-AE9B-2DEBEFBFE5CB}">
            <x14:iconSet iconSet="5Boxes">
              <x14:cfvo type="percent">
                <xm:f>0</xm:f>
              </x14:cfvo>
              <x14:cfvo type="percent">
                <xm:f>20</xm:f>
              </x14:cfvo>
              <x14:cfvo type="percent">
                <xm:f>40</xm:f>
              </x14:cfvo>
              <x14:cfvo type="percent">
                <xm:f>60</xm:f>
              </x14:cfvo>
              <x14:cfvo type="percent">
                <xm:f>80</xm:f>
              </x14:cfvo>
            </x14:iconSet>
          </x14:cfRule>
          <xm:sqref>O10:O12 O14 O16:O41 O44:O48</xm:sqref>
        </x14:conditionalFormatting>
        <x14:conditionalFormatting xmlns:xm="http://schemas.microsoft.com/office/excel/2006/main">
          <x14:cfRule type="iconSet" priority="67" id="{F8539B5B-BE5E-4015-9998-810751EDBE46}">
            <x14:iconSet iconSet="5Boxes">
              <x14:cfvo type="percent">
                <xm:f>0</xm:f>
              </x14:cfvo>
              <x14:cfvo type="percent">
                <xm:f>20</xm:f>
              </x14:cfvo>
              <x14:cfvo type="percent">
                <xm:f>40</xm:f>
              </x14:cfvo>
              <x14:cfvo type="percent">
                <xm:f>60</xm:f>
              </x14:cfvo>
              <x14:cfvo type="percent">
                <xm:f>80</xm:f>
              </x14:cfvo>
            </x14:iconSet>
          </x14:cfRule>
          <xm:sqref>L10:L12 L14 L16:L41 L44:L48</xm:sqref>
        </x14:conditionalFormatting>
        <x14:conditionalFormatting xmlns:xm="http://schemas.microsoft.com/office/excel/2006/main">
          <x14:cfRule type="iconSet" priority="7" id="{77F14190-9F84-4A3D-BDD5-7EAAD9E7A70A}">
            <x14:iconSet iconSet="5Boxes">
              <x14:cfvo type="percent">
                <xm:f>0</xm:f>
              </x14:cfvo>
              <x14:cfvo type="percent">
                <xm:f>20</xm:f>
              </x14:cfvo>
              <x14:cfvo type="percent">
                <xm:f>40</xm:f>
              </x14:cfvo>
              <x14:cfvo type="percent">
                <xm:f>60</xm:f>
              </x14:cfvo>
              <x14:cfvo type="percent">
                <xm:f>80</xm:f>
              </x14:cfvo>
            </x14:iconSet>
          </x14:cfRule>
          <xm:sqref>R42:R43</xm:sqref>
        </x14:conditionalFormatting>
        <x14:conditionalFormatting xmlns:xm="http://schemas.microsoft.com/office/excel/2006/main">
          <x14:cfRule type="iconSet" priority="8" id="{FCB0B2E9-8E3F-4695-859F-2747112281E5}">
            <x14:iconSet iconSet="5Boxes">
              <x14:cfvo type="percent">
                <xm:f>0</xm:f>
              </x14:cfvo>
              <x14:cfvo type="percent">
                <xm:f>20</xm:f>
              </x14:cfvo>
              <x14:cfvo type="percent">
                <xm:f>40</xm:f>
              </x14:cfvo>
              <x14:cfvo type="percent">
                <xm:f>60</xm:f>
              </x14:cfvo>
              <x14:cfvo type="percent">
                <xm:f>80</xm:f>
              </x14:cfvo>
            </x14:iconSet>
          </x14:cfRule>
          <xm:sqref>O42:O43</xm:sqref>
        </x14:conditionalFormatting>
        <x14:conditionalFormatting xmlns:xm="http://schemas.microsoft.com/office/excel/2006/main">
          <x14:cfRule type="iconSet" priority="9" id="{68758450-6371-48D7-8E89-C8F02E59D25E}">
            <x14:iconSet iconSet="5Boxes">
              <x14:cfvo type="percent">
                <xm:f>0</xm:f>
              </x14:cfvo>
              <x14:cfvo type="percent">
                <xm:f>20</xm:f>
              </x14:cfvo>
              <x14:cfvo type="percent">
                <xm:f>40</xm:f>
              </x14:cfvo>
              <x14:cfvo type="percent">
                <xm:f>60</xm:f>
              </x14:cfvo>
              <x14:cfvo type="percent">
                <xm:f>80</xm:f>
              </x14:cfvo>
            </x14:iconSet>
          </x14:cfRule>
          <xm:sqref>L42:L43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84"/>
  <sheetViews>
    <sheetView showGridLines="0" showRowColHeaders="0" zoomScale="80" zoomScaleNormal="80" workbookViewId="0">
      <selection activeCell="S71" sqref="S71"/>
    </sheetView>
  </sheetViews>
  <sheetFormatPr baseColWidth="10" defaultColWidth="7.85546875" defaultRowHeight="15" zeroHeight="1" outlineLevelRow="1" x14ac:dyDescent="0.25"/>
  <cols>
    <col min="1" max="1" width="1.7109375" customWidth="1"/>
    <col min="2" max="2" width="1.85546875" customWidth="1"/>
    <col min="3" max="3" width="15" style="11" customWidth="1"/>
    <col min="4" max="4" width="2.7109375" customWidth="1"/>
    <col min="5" max="5" width="15" customWidth="1"/>
    <col min="6" max="6" width="2.7109375" customWidth="1"/>
    <col min="7" max="7" width="15" customWidth="1"/>
    <col min="8" max="8" width="2.7109375" customWidth="1"/>
    <col min="9" max="9" width="15" customWidth="1"/>
    <col min="10" max="10" width="2.85546875" customWidth="1"/>
    <col min="11" max="11" width="15" customWidth="1"/>
    <col min="12" max="12" width="2.7109375" customWidth="1"/>
    <col min="13" max="13" width="15" customWidth="1"/>
    <col min="14" max="14" width="4.7109375" bestFit="1" customWidth="1"/>
    <col min="15" max="15" width="15" customWidth="1"/>
    <col min="16" max="16" width="1.85546875" customWidth="1"/>
    <col min="17" max="17" width="1.7109375" customWidth="1"/>
  </cols>
  <sheetData>
    <row r="1" spans="1:18" s="5" customFormat="1" x14ac:dyDescent="0.25"/>
    <row r="2" spans="1:18" s="5" customFormat="1" x14ac:dyDescent="0.25">
      <c r="C2" s="16"/>
    </row>
    <row r="3" spans="1:18" s="5" customFormat="1" ht="26.25" x14ac:dyDescent="0.4">
      <c r="C3" s="16"/>
      <c r="G3" s="20" t="s">
        <v>84</v>
      </c>
    </row>
    <row r="4" spans="1:18" s="5" customFormat="1" ht="21" x14ac:dyDescent="0.35">
      <c r="C4" s="16"/>
      <c r="G4" s="17"/>
    </row>
    <row r="5" spans="1:18" s="18" customFormat="1" ht="15.75" thickBot="1" x14ac:dyDescent="0.3">
      <c r="C5" s="19"/>
    </row>
    <row r="6" spans="1:18" ht="11.25" customHeight="1" thickTop="1" thickBot="1" x14ac:dyDescent="0.3"/>
    <row r="7" spans="1:18" ht="8.25" customHeight="1" x14ac:dyDescent="0.25">
      <c r="A7" s="5"/>
      <c r="B7" s="24"/>
      <c r="C7" s="25"/>
      <c r="D7" s="26"/>
      <c r="E7" s="26"/>
      <c r="F7" s="25"/>
      <c r="G7" s="27"/>
      <c r="H7" s="27"/>
      <c r="I7" s="28"/>
      <c r="J7" s="28"/>
      <c r="K7" s="28"/>
      <c r="L7" s="28"/>
      <c r="M7" s="28"/>
      <c r="N7" s="28"/>
      <c r="O7" s="28"/>
      <c r="P7" s="29"/>
    </row>
    <row r="8" spans="1:18" ht="15" customHeight="1" x14ac:dyDescent="0.25">
      <c r="A8" s="5"/>
      <c r="B8" s="30"/>
      <c r="C8" s="317" t="s">
        <v>66</v>
      </c>
      <c r="D8" s="31"/>
      <c r="E8" s="31"/>
      <c r="F8" s="6"/>
      <c r="G8" s="286" t="str">
        <f>Portfolio!X9</f>
        <v>Mínimo</v>
      </c>
      <c r="H8" s="32"/>
      <c r="I8" s="286" t="str">
        <f>Portfolio!Y9</f>
        <v>Tendencia</v>
      </c>
      <c r="J8" s="6"/>
      <c r="K8" s="286" t="str">
        <f>Portfolio!Z9</f>
        <v>Esperado</v>
      </c>
      <c r="L8" s="6"/>
      <c r="M8" s="286" t="str">
        <f>Portfolio!AA9</f>
        <v>Promedio</v>
      </c>
      <c r="N8" s="6"/>
      <c r="O8" s="286" t="str">
        <f>Portfolio!AB9</f>
        <v>Máximo</v>
      </c>
      <c r="P8" s="33"/>
    </row>
    <row r="9" spans="1:18" ht="15" customHeight="1" x14ac:dyDescent="0.25">
      <c r="B9" s="30"/>
      <c r="C9" s="317"/>
      <c r="D9" s="31"/>
      <c r="E9" s="31"/>
      <c r="F9" s="6"/>
      <c r="G9" s="287"/>
      <c r="H9" s="32"/>
      <c r="I9" s="287"/>
      <c r="J9" s="6"/>
      <c r="K9" s="287"/>
      <c r="L9" s="6"/>
      <c r="M9" s="287"/>
      <c r="N9" s="6"/>
      <c r="O9" s="287"/>
      <c r="P9" s="33"/>
    </row>
    <row r="10" spans="1:18" ht="8.25" customHeight="1" x14ac:dyDescent="0.25">
      <c r="B10" s="30"/>
      <c r="C10" s="34"/>
      <c r="D10" s="35"/>
      <c r="E10" s="35"/>
      <c r="F10" s="6"/>
      <c r="G10" s="58"/>
      <c r="H10" s="6"/>
      <c r="I10" s="58"/>
      <c r="J10" s="6"/>
      <c r="K10" s="58"/>
      <c r="L10" s="6"/>
      <c r="M10" s="58"/>
      <c r="N10" s="6"/>
      <c r="O10" s="58"/>
      <c r="P10" s="33"/>
    </row>
    <row r="11" spans="1:18" ht="12.75" customHeight="1" x14ac:dyDescent="0.25">
      <c r="B11" s="30"/>
      <c r="C11" s="318" t="s">
        <v>99</v>
      </c>
      <c r="D11" s="319"/>
      <c r="E11" s="319"/>
      <c r="F11" s="6"/>
      <c r="G11" s="337">
        <f>Portfolio!AD52</f>
        <v>436359.17653333314</v>
      </c>
      <c r="H11" s="6"/>
      <c r="I11" s="337">
        <f>Portfolio!AE52</f>
        <v>633314.33205333329</v>
      </c>
      <c r="J11" s="6"/>
      <c r="K11" s="337">
        <f>Portfolio!AF52</f>
        <v>654724.97872000001</v>
      </c>
      <c r="L11" s="6"/>
      <c r="M11" s="337">
        <f>Portfolio!AG52</f>
        <v>648097.71233333321</v>
      </c>
      <c r="N11" s="6"/>
      <c r="O11" s="337">
        <f>Portfolio!AH52</f>
        <v>772121.60825333325</v>
      </c>
      <c r="P11" s="33"/>
    </row>
    <row r="12" spans="1:18" ht="12.75" customHeight="1" x14ac:dyDescent="0.25">
      <c r="B12" s="30"/>
      <c r="C12" s="318"/>
      <c r="D12" s="319"/>
      <c r="E12" s="319"/>
      <c r="F12" s="6"/>
      <c r="G12" s="338"/>
      <c r="H12" s="6"/>
      <c r="I12" s="338"/>
      <c r="J12" s="6"/>
      <c r="K12" s="338"/>
      <c r="L12" s="6"/>
      <c r="M12" s="338"/>
      <c r="N12" s="6"/>
      <c r="O12" s="338"/>
      <c r="P12" s="33"/>
    </row>
    <row r="13" spans="1:18" ht="12.75" customHeight="1" x14ac:dyDescent="0.25">
      <c r="B13" s="30"/>
      <c r="C13" s="35"/>
      <c r="D13" s="36"/>
      <c r="E13" s="36"/>
      <c r="F13" s="6"/>
      <c r="G13" s="37">
        <f>Portfolio!AD54</f>
        <v>0.49568650452527047</v>
      </c>
      <c r="H13" s="38"/>
      <c r="I13" s="37">
        <f>Portfolio!AE54</f>
        <v>0.40738472192289832</v>
      </c>
      <c r="J13" s="38"/>
      <c r="K13" s="37">
        <f>Portfolio!AF54</f>
        <v>0.48034196485803504</v>
      </c>
      <c r="L13" s="38"/>
      <c r="M13" s="37">
        <f>Portfolio!AG54</f>
        <v>0.42364161685563789</v>
      </c>
      <c r="N13" s="38"/>
      <c r="O13" s="37">
        <f>Portfolio!AH54</f>
        <v>0.34844865339535946</v>
      </c>
      <c r="P13" s="33"/>
      <c r="R13" s="56"/>
    </row>
    <row r="14" spans="1:18" ht="12.75" customHeight="1" x14ac:dyDescent="0.25">
      <c r="B14" s="30"/>
      <c r="C14" s="35"/>
      <c r="D14" s="36"/>
      <c r="E14" s="36"/>
      <c r="F14" s="6"/>
      <c r="G14" s="39">
        <f>1-G13</f>
        <v>0.50431349547472948</v>
      </c>
      <c r="H14" s="40"/>
      <c r="I14" s="39">
        <f>1-I13</f>
        <v>0.59261527807710168</v>
      </c>
      <c r="J14" s="40"/>
      <c r="K14" s="39">
        <f>1-K13</f>
        <v>0.51965803514196496</v>
      </c>
      <c r="L14" s="40"/>
      <c r="M14" s="39">
        <f>1-M13</f>
        <v>0.57635838314436216</v>
      </c>
      <c r="N14" s="40"/>
      <c r="O14" s="39">
        <f>1-O13</f>
        <v>0.65155134660464054</v>
      </c>
      <c r="P14" s="33"/>
      <c r="R14" s="57"/>
    </row>
    <row r="15" spans="1:18" ht="12.75" customHeight="1" x14ac:dyDescent="0.25">
      <c r="B15" s="30"/>
      <c r="C15" s="35"/>
      <c r="D15" s="36"/>
      <c r="E15" s="36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3"/>
    </row>
    <row r="16" spans="1:18" ht="12.75" hidden="1" customHeight="1" outlineLevel="1" x14ac:dyDescent="0.25">
      <c r="B16" s="30"/>
      <c r="C16" s="320" t="s">
        <v>108</v>
      </c>
      <c r="D16" s="321"/>
      <c r="E16" s="322"/>
      <c r="F16" s="6"/>
      <c r="G16" s="337">
        <f>SUMPRODUCT(Portfolio!$K$10:$K$48,Portfolio!X10:X48)</f>
        <v>-38414.773466666666</v>
      </c>
      <c r="H16" s="6"/>
      <c r="I16" s="337">
        <f>SUMPRODUCT(Portfolio!$K$10:$K$48,Portfolio!Y10:Y48)</f>
        <v>194530.80245333331</v>
      </c>
      <c r="J16" s="6"/>
      <c r="K16" s="337">
        <f>SUMPRODUCT(Portfolio!$K$10:$K$48,Portfolio!Z10:Z48)</f>
        <v>161788.88545333332</v>
      </c>
      <c r="L16" s="6"/>
      <c r="M16" s="337">
        <f>SUMPRODUCT(Portfolio!$K$10:$K$48,Portfolio!AA10:AA48)</f>
        <v>209228.69619999998</v>
      </c>
      <c r="N16" s="6"/>
      <c r="O16" s="337">
        <f>SUMPRODUCT(Portfolio!$K$10:$K$48,Portfolio!AB10:AB48)</f>
        <v>411813.86631999997</v>
      </c>
      <c r="P16" s="33"/>
    </row>
    <row r="17" spans="2:16" ht="12.75" hidden="1" customHeight="1" outlineLevel="1" x14ac:dyDescent="0.25">
      <c r="B17" s="30"/>
      <c r="C17" s="298"/>
      <c r="D17" s="299"/>
      <c r="E17" s="300"/>
      <c r="F17" s="6"/>
      <c r="G17" s="338"/>
      <c r="H17" s="6"/>
      <c r="I17" s="338"/>
      <c r="J17" s="6"/>
      <c r="K17" s="338"/>
      <c r="L17" s="6"/>
      <c r="M17" s="338"/>
      <c r="N17" s="6"/>
      <c r="O17" s="338"/>
      <c r="P17" s="33"/>
    </row>
    <row r="18" spans="2:16" ht="12.75" customHeight="1" collapsed="1" x14ac:dyDescent="0.25">
      <c r="B18" s="30"/>
      <c r="C18" s="298" t="s">
        <v>20</v>
      </c>
      <c r="D18" s="299"/>
      <c r="E18" s="300"/>
      <c r="F18" s="6"/>
      <c r="G18" s="339">
        <f>G16/Portfolio!$K$49</f>
        <v>-4.63585454235221E-3</v>
      </c>
      <c r="H18" s="6"/>
      <c r="I18" s="339">
        <f>I16/Portfolio!$K$49</f>
        <v>2.3475773063278155E-2</v>
      </c>
      <c r="J18" s="6"/>
      <c r="K18" s="339">
        <f>K16/Portfolio!$K$49</f>
        <v>1.952451288517304E-2</v>
      </c>
      <c r="L18" s="6"/>
      <c r="M18" s="339">
        <f>M16/Portfolio!$K$49</f>
        <v>2.5249499453923643E-2</v>
      </c>
      <c r="N18" s="6"/>
      <c r="O18" s="339">
        <f>O16/Portfolio!$K$49</f>
        <v>4.9697265153464287E-2</v>
      </c>
      <c r="P18" s="33"/>
    </row>
    <row r="19" spans="2:16" ht="12.75" customHeight="1" x14ac:dyDescent="0.25">
      <c r="B19" s="30"/>
      <c r="C19" s="301"/>
      <c r="D19" s="302"/>
      <c r="E19" s="303"/>
      <c r="F19" s="6"/>
      <c r="G19" s="339"/>
      <c r="H19" s="6"/>
      <c r="I19" s="339"/>
      <c r="J19" s="6"/>
      <c r="K19" s="339"/>
      <c r="L19" s="6"/>
      <c r="M19" s="339"/>
      <c r="N19" s="6"/>
      <c r="O19" s="339"/>
      <c r="P19" s="33"/>
    </row>
    <row r="20" spans="2:16" ht="8.25" hidden="1" customHeight="1" outlineLevel="1" x14ac:dyDescent="0.25">
      <c r="B20" s="30"/>
      <c r="C20" s="35"/>
      <c r="D20" s="36"/>
      <c r="E20" s="36"/>
      <c r="F20" s="6"/>
      <c r="G20" s="41"/>
      <c r="H20" s="6"/>
      <c r="I20" s="41"/>
      <c r="J20" s="6"/>
      <c r="K20" s="41"/>
      <c r="L20" s="6"/>
      <c r="M20" s="41"/>
      <c r="N20" s="6"/>
      <c r="O20" s="41"/>
      <c r="P20" s="33"/>
    </row>
    <row r="21" spans="2:16" ht="12.75" hidden="1" customHeight="1" outlineLevel="1" x14ac:dyDescent="0.25">
      <c r="B21" s="30"/>
      <c r="C21" s="320" t="s">
        <v>100</v>
      </c>
      <c r="D21" s="321"/>
      <c r="E21" s="322"/>
      <c r="F21" s="6"/>
      <c r="G21" s="338">
        <f>Portfolio!F57*Portfolio!G57</f>
        <v>2800.0000000000005</v>
      </c>
      <c r="H21" s="6"/>
      <c r="I21" s="338">
        <f>G21</f>
        <v>2800.0000000000005</v>
      </c>
      <c r="J21" s="6"/>
      <c r="K21" s="338">
        <f>I21</f>
        <v>2800.0000000000005</v>
      </c>
      <c r="L21" s="6"/>
      <c r="M21" s="338">
        <f>I21</f>
        <v>2800.0000000000005</v>
      </c>
      <c r="N21" s="42">
        <f>M21/$M$16</f>
        <v>1.3382485533071925E-2</v>
      </c>
      <c r="O21" s="338">
        <f>M21</f>
        <v>2800.0000000000005</v>
      </c>
      <c r="P21" s="33"/>
    </row>
    <row r="22" spans="2:16" ht="12.75" hidden="1" customHeight="1" outlineLevel="1" x14ac:dyDescent="0.25">
      <c r="B22" s="30"/>
      <c r="C22" s="298"/>
      <c r="D22" s="299"/>
      <c r="E22" s="300"/>
      <c r="F22" s="6"/>
      <c r="G22" s="338"/>
      <c r="H22" s="6"/>
      <c r="I22" s="338"/>
      <c r="J22" s="6"/>
      <c r="K22" s="338"/>
      <c r="L22" s="6"/>
      <c r="M22" s="338"/>
      <c r="N22" s="6"/>
      <c r="O22" s="338"/>
      <c r="P22" s="33"/>
    </row>
    <row r="23" spans="2:16" ht="12.75" hidden="1" customHeight="1" outlineLevel="1" x14ac:dyDescent="0.25">
      <c r="B23" s="30"/>
      <c r="C23" s="298" t="s">
        <v>101</v>
      </c>
      <c r="D23" s="299"/>
      <c r="E23" s="300"/>
      <c r="F23" s="6"/>
      <c r="G23" s="338">
        <f>G16-G21</f>
        <v>-41214.773466666666</v>
      </c>
      <c r="H23" s="6"/>
      <c r="I23" s="338">
        <f>I16-I21</f>
        <v>191730.80245333331</v>
      </c>
      <c r="J23" s="6"/>
      <c r="K23" s="338">
        <f>K16-K21</f>
        <v>158988.88545333332</v>
      </c>
      <c r="L23" s="6"/>
      <c r="M23" s="338">
        <f>M16-M21</f>
        <v>206428.69619999998</v>
      </c>
      <c r="N23" s="6"/>
      <c r="O23" s="338">
        <f>O16-O21</f>
        <v>409013.86631999997</v>
      </c>
      <c r="P23" s="33"/>
    </row>
    <row r="24" spans="2:16" ht="12.75" hidden="1" customHeight="1" outlineLevel="1" x14ac:dyDescent="0.25">
      <c r="B24" s="30"/>
      <c r="C24" s="298"/>
      <c r="D24" s="299"/>
      <c r="E24" s="300"/>
      <c r="F24" s="6"/>
      <c r="G24" s="338"/>
      <c r="H24" s="6"/>
      <c r="I24" s="338"/>
      <c r="J24" s="6"/>
      <c r="K24" s="338"/>
      <c r="L24" s="6"/>
      <c r="M24" s="338"/>
      <c r="N24" s="6"/>
      <c r="O24" s="338"/>
      <c r="P24" s="33"/>
    </row>
    <row r="25" spans="2:16" ht="12.75" customHeight="1" collapsed="1" x14ac:dyDescent="0.25">
      <c r="B25" s="30"/>
      <c r="C25" s="298" t="s">
        <v>24</v>
      </c>
      <c r="D25" s="299"/>
      <c r="E25" s="300"/>
      <c r="F25" s="6"/>
      <c r="G25" s="339">
        <f>G23/$G$66</f>
        <v>-4.9978811656462311E-3</v>
      </c>
      <c r="H25" s="6"/>
      <c r="I25" s="339">
        <f>I23/$G$66</f>
        <v>2.3250103927679143E-2</v>
      </c>
      <c r="J25" s="6"/>
      <c r="K25" s="339">
        <f>K23/$G$66</f>
        <v>1.9279677875627694E-2</v>
      </c>
      <c r="L25" s="6"/>
      <c r="M25" s="339">
        <f>M23/$G$66</f>
        <v>2.503243390677137E-2</v>
      </c>
      <c r="N25" s="6"/>
      <c r="O25" s="339">
        <f>O23/$G$66</f>
        <v>4.959878526621446E-2</v>
      </c>
      <c r="P25" s="33"/>
    </row>
    <row r="26" spans="2:16" ht="12.75" customHeight="1" x14ac:dyDescent="0.25">
      <c r="B26" s="30"/>
      <c r="C26" s="301"/>
      <c r="D26" s="302"/>
      <c r="E26" s="303"/>
      <c r="F26" s="6"/>
      <c r="G26" s="339"/>
      <c r="H26" s="6"/>
      <c r="I26" s="339"/>
      <c r="J26" s="6"/>
      <c r="K26" s="339"/>
      <c r="L26" s="6"/>
      <c r="M26" s="339"/>
      <c r="N26" s="6"/>
      <c r="O26" s="339"/>
      <c r="P26" s="33"/>
    </row>
    <row r="27" spans="2:16" ht="8.25" hidden="1" customHeight="1" outlineLevel="1" x14ac:dyDescent="0.25">
      <c r="B27" s="30"/>
      <c r="C27" s="35"/>
      <c r="D27" s="36"/>
      <c r="E27" s="36"/>
      <c r="F27" s="6"/>
      <c r="G27" s="41"/>
      <c r="H27" s="6"/>
      <c r="I27" s="41"/>
      <c r="J27" s="6"/>
      <c r="K27" s="41"/>
      <c r="L27" s="6"/>
      <c r="M27" s="41"/>
      <c r="N27" s="6"/>
      <c r="O27" s="41"/>
      <c r="P27" s="33"/>
    </row>
    <row r="28" spans="2:16" ht="12.75" hidden="1" customHeight="1" outlineLevel="1" x14ac:dyDescent="0.25">
      <c r="B28" s="30"/>
      <c r="C28" s="323">
        <v>0.18</v>
      </c>
      <c r="D28" s="324"/>
      <c r="E28" s="325"/>
      <c r="F28" s="6"/>
      <c r="G28" s="338">
        <f>MAX(0,G23*$C$28)</f>
        <v>0</v>
      </c>
      <c r="H28" s="6"/>
      <c r="I28" s="338">
        <f>MAX(0,I23*$C$28)</f>
        <v>34511.544441599995</v>
      </c>
      <c r="J28" s="6"/>
      <c r="K28" s="338">
        <f>MAX(0,K23*$C$28)</f>
        <v>28617.999381599995</v>
      </c>
      <c r="L28" s="6"/>
      <c r="M28" s="338">
        <f>MAX(0,M23*$C$28)</f>
        <v>37157.165315999991</v>
      </c>
      <c r="N28" s="42">
        <f>M28/$M$16</f>
        <v>0.17759115260404704</v>
      </c>
      <c r="O28" s="338">
        <f>MAX(0,O23*$C$28)</f>
        <v>73622.49593759999</v>
      </c>
      <c r="P28" s="33"/>
    </row>
    <row r="29" spans="2:16" ht="12.75" hidden="1" customHeight="1" outlineLevel="1" x14ac:dyDescent="0.25">
      <c r="B29" s="30"/>
      <c r="C29" s="326"/>
      <c r="D29" s="327"/>
      <c r="E29" s="328"/>
      <c r="F29" s="6"/>
      <c r="G29" s="338"/>
      <c r="H29" s="6"/>
      <c r="I29" s="338"/>
      <c r="J29" s="6"/>
      <c r="K29" s="338"/>
      <c r="L29" s="6"/>
      <c r="M29" s="338"/>
      <c r="N29" s="42"/>
      <c r="O29" s="338"/>
      <c r="P29" s="33"/>
    </row>
    <row r="30" spans="2:16" ht="12.75" hidden="1" customHeight="1" outlineLevel="1" x14ac:dyDescent="0.25">
      <c r="B30" s="30"/>
      <c r="C30" s="298" t="s">
        <v>102</v>
      </c>
      <c r="D30" s="299"/>
      <c r="E30" s="300"/>
      <c r="F30" s="6"/>
      <c r="G30" s="338">
        <f>(10000+10000+5000+23000+25000+50000+20000)/45*12</f>
        <v>38133.333333333336</v>
      </c>
      <c r="H30" s="6"/>
      <c r="I30" s="338">
        <f>G30</f>
        <v>38133.333333333336</v>
      </c>
      <c r="J30" s="6"/>
      <c r="K30" s="338">
        <f>I30</f>
        <v>38133.333333333336</v>
      </c>
      <c r="L30" s="6"/>
      <c r="M30" s="338">
        <f>G30</f>
        <v>38133.333333333336</v>
      </c>
      <c r="N30" s="42">
        <f>M30/$M$16</f>
        <v>0.18225670773612238</v>
      </c>
      <c r="O30" s="338">
        <f>G30</f>
        <v>38133.333333333336</v>
      </c>
      <c r="P30" s="33"/>
    </row>
    <row r="31" spans="2:16" ht="12.75" hidden="1" customHeight="1" outlineLevel="1" x14ac:dyDescent="0.25">
      <c r="B31" s="30"/>
      <c r="C31" s="298"/>
      <c r="D31" s="299"/>
      <c r="E31" s="300"/>
      <c r="F31" s="6"/>
      <c r="G31" s="338"/>
      <c r="H31" s="6"/>
      <c r="I31" s="338"/>
      <c r="J31" s="6"/>
      <c r="K31" s="338"/>
      <c r="L31" s="6"/>
      <c r="M31" s="338"/>
      <c r="N31" s="42"/>
      <c r="O31" s="338"/>
      <c r="P31" s="33"/>
    </row>
    <row r="32" spans="2:16" ht="12.75" hidden="1" customHeight="1" outlineLevel="1" x14ac:dyDescent="0.25">
      <c r="B32" s="30"/>
      <c r="C32" s="298" t="s">
        <v>103</v>
      </c>
      <c r="D32" s="299"/>
      <c r="E32" s="300"/>
      <c r="F32" s="6"/>
      <c r="G32" s="338">
        <f>G23-G28-G30</f>
        <v>-79348.106800000009</v>
      </c>
      <c r="H32" s="6"/>
      <c r="I32" s="338">
        <f>I23-I28-I30</f>
        <v>119085.92467839996</v>
      </c>
      <c r="J32" s="6"/>
      <c r="K32" s="338">
        <f>K23-K28-K30</f>
        <v>92237.552738400002</v>
      </c>
      <c r="L32" s="6"/>
      <c r="M32" s="338">
        <f>M23-M28-M30</f>
        <v>131138.19755066663</v>
      </c>
      <c r="N32" s="42">
        <f>M32/$M$16</f>
        <v>0.62676965412675856</v>
      </c>
      <c r="O32" s="338">
        <f>O23-O28-O30</f>
        <v>297258.03704906668</v>
      </c>
      <c r="P32" s="33"/>
    </row>
    <row r="33" spans="2:16" ht="12.75" hidden="1" customHeight="1" outlineLevel="1" x14ac:dyDescent="0.25">
      <c r="B33" s="30"/>
      <c r="C33" s="298"/>
      <c r="D33" s="299"/>
      <c r="E33" s="300"/>
      <c r="F33" s="6"/>
      <c r="G33" s="338"/>
      <c r="H33" s="6"/>
      <c r="I33" s="338"/>
      <c r="J33" s="6"/>
      <c r="K33" s="338"/>
      <c r="L33" s="6"/>
      <c r="M33" s="338"/>
      <c r="N33" s="6"/>
      <c r="O33" s="338"/>
      <c r="P33" s="33"/>
    </row>
    <row r="34" spans="2:16" ht="12.75" customHeight="1" collapsed="1" x14ac:dyDescent="0.25">
      <c r="B34" s="30"/>
      <c r="C34" s="298" t="s">
        <v>25</v>
      </c>
      <c r="D34" s="299"/>
      <c r="E34" s="300"/>
      <c r="F34" s="6"/>
      <c r="G34" s="339">
        <f>G32/$G$66</f>
        <v>-9.6220936122854619E-3</v>
      </c>
      <c r="H34" s="6"/>
      <c r="I34" s="339">
        <f>I32/$G$66</f>
        <v>1.4440872774057664E-2</v>
      </c>
      <c r="J34" s="6"/>
      <c r="K34" s="339">
        <f>K32/$G$66</f>
        <v>1.118512341137548E-2</v>
      </c>
      <c r="L34" s="6"/>
      <c r="M34" s="339">
        <f>M32/$G$66</f>
        <v>1.5902383356913293E-2</v>
      </c>
      <c r="N34" s="6"/>
      <c r="O34" s="339">
        <f>O32/$G$66</f>
        <v>3.6046791471656632E-2</v>
      </c>
      <c r="P34" s="33"/>
    </row>
    <row r="35" spans="2:16" ht="12.75" customHeight="1" x14ac:dyDescent="0.25">
      <c r="B35" s="30"/>
      <c r="C35" s="301"/>
      <c r="D35" s="302"/>
      <c r="E35" s="303"/>
      <c r="F35" s="6"/>
      <c r="G35" s="340"/>
      <c r="H35" s="6"/>
      <c r="I35" s="340"/>
      <c r="J35" s="6"/>
      <c r="K35" s="340"/>
      <c r="L35" s="6"/>
      <c r="M35" s="340"/>
      <c r="N35" s="6"/>
      <c r="O35" s="340"/>
      <c r="P35" s="33"/>
    </row>
    <row r="36" spans="2:16" ht="8.25" customHeight="1" x14ac:dyDescent="0.25">
      <c r="B36" s="30"/>
      <c r="C36" s="35"/>
      <c r="D36" s="36"/>
      <c r="E36" s="36"/>
      <c r="F36" s="6"/>
      <c r="G36" s="43"/>
      <c r="H36" s="6"/>
      <c r="I36" s="43"/>
      <c r="J36" s="6"/>
      <c r="K36" s="43"/>
      <c r="L36" s="6"/>
      <c r="M36" s="43"/>
      <c r="N36" s="6"/>
      <c r="O36" s="43"/>
      <c r="P36" s="33"/>
    </row>
    <row r="37" spans="2:16" ht="12" hidden="1" customHeight="1" outlineLevel="1" x14ac:dyDescent="0.25">
      <c r="B37" s="30"/>
      <c r="C37" s="329">
        <v>4</v>
      </c>
      <c r="D37" s="330"/>
      <c r="E37" s="331"/>
      <c r="F37" s="6"/>
      <c r="G37" s="337">
        <f>MAX(0,(((G16*(1-C28)-G30)*C37)/(1+Portfolio!G57*(1-C28))))</f>
        <v>0</v>
      </c>
      <c r="H37" s="6"/>
      <c r="I37" s="337">
        <f>(((I16*(1-C28)-I30)*C37)/(1+Portfolio!G57*Tablero!C37*(1-C28)))</f>
        <v>394866.37826415087</v>
      </c>
      <c r="J37" s="6"/>
      <c r="K37" s="337">
        <f>(((K16*(1-C28)-K30)*C37)/(1+Portfolio!G57*Tablero!C37*(1-C28)))</f>
        <v>307526.19628627197</v>
      </c>
      <c r="L37" s="6"/>
      <c r="M37" s="337">
        <f>(((M16*(1-C28)-M30)*C37)/(1+Portfolio!G57*Tablero!C37*(1-C28)))</f>
        <v>434073.51187594881</v>
      </c>
      <c r="N37" s="6"/>
      <c r="O37" s="337">
        <f>(((O16*(1-C28)-O30)*C37)/(1+Portfolio!G57*Tablero!C37*(1-C28)))</f>
        <v>974476.37296378228</v>
      </c>
      <c r="P37" s="33"/>
    </row>
    <row r="38" spans="2:16" ht="12" hidden="1" customHeight="1" outlineLevel="1" x14ac:dyDescent="0.25">
      <c r="B38" s="30"/>
      <c r="C38" s="332"/>
      <c r="D38" s="333"/>
      <c r="E38" s="334"/>
      <c r="F38" s="6"/>
      <c r="G38" s="338"/>
      <c r="H38" s="6"/>
      <c r="I38" s="338"/>
      <c r="J38" s="6"/>
      <c r="K38" s="338"/>
      <c r="L38" s="6"/>
      <c r="M38" s="338"/>
      <c r="N38" s="6"/>
      <c r="O38" s="338"/>
      <c r="P38" s="33"/>
    </row>
    <row r="39" spans="2:16" ht="12" hidden="1" customHeight="1" outlineLevel="1" x14ac:dyDescent="0.25">
      <c r="B39" s="30"/>
      <c r="C39" s="306" t="s">
        <v>104</v>
      </c>
      <c r="D39" s="307"/>
      <c r="E39" s="308"/>
      <c r="F39" s="6"/>
      <c r="G39" s="338">
        <f>$G$64-G37</f>
        <v>40000</v>
      </c>
      <c r="H39" s="6"/>
      <c r="I39" s="338">
        <f>MAX(0,$G$64-I37)</f>
        <v>0</v>
      </c>
      <c r="J39" s="6"/>
      <c r="K39" s="338">
        <f>MAX(0,$G$64-K37)</f>
        <v>0</v>
      </c>
      <c r="L39" s="6"/>
      <c r="M39" s="338">
        <f>MAX(0,$G$64-M37)</f>
        <v>0</v>
      </c>
      <c r="N39" s="6"/>
      <c r="O39" s="338">
        <f>MAX(0,$G$64-O37)</f>
        <v>0</v>
      </c>
      <c r="P39" s="33"/>
    </row>
    <row r="40" spans="2:16" ht="12" hidden="1" customHeight="1" outlineLevel="1" x14ac:dyDescent="0.25">
      <c r="B40" s="30"/>
      <c r="C40" s="306"/>
      <c r="D40" s="307"/>
      <c r="E40" s="308"/>
      <c r="F40" s="6"/>
      <c r="G40" s="338"/>
      <c r="H40" s="6"/>
      <c r="I40" s="338"/>
      <c r="J40" s="6"/>
      <c r="K40" s="338"/>
      <c r="L40" s="6"/>
      <c r="M40" s="338"/>
      <c r="N40" s="6"/>
      <c r="O40" s="338"/>
      <c r="P40" s="33"/>
    </row>
    <row r="41" spans="2:16" ht="12" hidden="1" customHeight="1" outlineLevel="1" x14ac:dyDescent="0.25">
      <c r="B41" s="30"/>
      <c r="C41" s="306" t="s">
        <v>63</v>
      </c>
      <c r="D41" s="307"/>
      <c r="E41" s="308"/>
      <c r="F41" s="6"/>
      <c r="G41" s="316">
        <f>G32/(Portfolio!$F$52+Portfolio!$F$53)</f>
        <v>-4.7608864080000002</v>
      </c>
      <c r="H41" s="42"/>
      <c r="I41" s="316">
        <f>I32/(Portfolio!$F$52+Portfolio!$F$53)</f>
        <v>7.1451554807039965</v>
      </c>
      <c r="J41" s="42"/>
      <c r="K41" s="316">
        <f>K32/(Portfolio!$F$52+Portfolio!$F$53)</f>
        <v>5.5342531643039994</v>
      </c>
      <c r="L41" s="42"/>
      <c r="M41" s="316">
        <f>M32/(Portfolio!$F$52+Portfolio!$F$53)</f>
        <v>7.8682918530399979</v>
      </c>
      <c r="N41" s="42"/>
      <c r="O41" s="316">
        <f>O32/(Portfolio!$F$52+Portfolio!$F$53)</f>
        <v>17.835482222943998</v>
      </c>
      <c r="P41" s="33"/>
    </row>
    <row r="42" spans="2:16" ht="12" hidden="1" customHeight="1" outlineLevel="1" x14ac:dyDescent="0.25">
      <c r="B42" s="30"/>
      <c r="C42" s="306"/>
      <c r="D42" s="307"/>
      <c r="E42" s="308"/>
      <c r="F42" s="6"/>
      <c r="G42" s="316"/>
      <c r="H42" s="42"/>
      <c r="I42" s="316"/>
      <c r="J42" s="42"/>
      <c r="K42" s="316"/>
      <c r="L42" s="42"/>
      <c r="M42" s="316"/>
      <c r="N42" s="42"/>
      <c r="O42" s="316"/>
      <c r="P42" s="33"/>
    </row>
    <row r="43" spans="2:16" ht="12" hidden="1" customHeight="1" outlineLevel="1" x14ac:dyDescent="0.25">
      <c r="B43" s="30"/>
      <c r="C43" s="306" t="s">
        <v>67</v>
      </c>
      <c r="D43" s="307"/>
      <c r="E43" s="308"/>
      <c r="F43" s="6"/>
      <c r="G43" s="316">
        <f>G11/(Portfolio!$F$52+Portfolio!$F$53)</f>
        <v>26.181550591999986</v>
      </c>
      <c r="H43" s="42"/>
      <c r="I43" s="316">
        <f>I11/(Portfolio!$F$52+Portfolio!$F$53)</f>
        <v>37.998859923199994</v>
      </c>
      <c r="J43" s="42"/>
      <c r="K43" s="316">
        <f>K11/(Portfolio!$F$52+Portfolio!$F$53)</f>
        <v>39.283498723199997</v>
      </c>
      <c r="L43" s="42"/>
      <c r="M43" s="316">
        <f>M11/(Portfolio!$F$52+Portfolio!$F$53)</f>
        <v>38.885862739999993</v>
      </c>
      <c r="N43" s="42"/>
      <c r="O43" s="316">
        <f>O11/(Portfolio!$F$52+Portfolio!$F$53)</f>
        <v>46.327296495199995</v>
      </c>
      <c r="P43" s="33"/>
    </row>
    <row r="44" spans="2:16" ht="12" hidden="1" customHeight="1" outlineLevel="1" x14ac:dyDescent="0.25">
      <c r="B44" s="30"/>
      <c r="C44" s="306"/>
      <c r="D44" s="307"/>
      <c r="E44" s="308"/>
      <c r="F44" s="6"/>
      <c r="G44" s="316"/>
      <c r="H44" s="42"/>
      <c r="I44" s="316"/>
      <c r="J44" s="42"/>
      <c r="K44" s="316"/>
      <c r="L44" s="42"/>
      <c r="M44" s="316"/>
      <c r="N44" s="42"/>
      <c r="O44" s="316"/>
      <c r="P44" s="33"/>
    </row>
    <row r="45" spans="2:16" ht="12" hidden="1" customHeight="1" outlineLevel="1" x14ac:dyDescent="0.25">
      <c r="B45" s="30"/>
      <c r="C45" s="306" t="s">
        <v>64</v>
      </c>
      <c r="D45" s="307"/>
      <c r="E45" s="308"/>
      <c r="F45" s="6"/>
      <c r="G45" s="316">
        <f>G32/Portfolio!$F$57</f>
        <v>-1.9837026700000002</v>
      </c>
      <c r="H45" s="42"/>
      <c r="I45" s="316">
        <f>I32/Portfolio!$F$57</f>
        <v>2.9771481169599987</v>
      </c>
      <c r="J45" s="42"/>
      <c r="K45" s="316">
        <f>K32/Portfolio!$F$57</f>
        <v>2.30593881846</v>
      </c>
      <c r="L45" s="42"/>
      <c r="M45" s="316">
        <f>M32/Portfolio!$F$57</f>
        <v>3.2784549387666657</v>
      </c>
      <c r="N45" s="42"/>
      <c r="O45" s="316">
        <f>O32/Portfolio!$F$57</f>
        <v>7.4314509262266668</v>
      </c>
      <c r="P45" s="33"/>
    </row>
    <row r="46" spans="2:16" ht="12" hidden="1" customHeight="1" outlineLevel="1" x14ac:dyDescent="0.25">
      <c r="B46" s="30"/>
      <c r="C46" s="306"/>
      <c r="D46" s="307"/>
      <c r="E46" s="308"/>
      <c r="F46" s="6"/>
      <c r="G46" s="316"/>
      <c r="H46" s="42"/>
      <c r="I46" s="316"/>
      <c r="J46" s="42"/>
      <c r="K46" s="316"/>
      <c r="L46" s="42"/>
      <c r="M46" s="316"/>
      <c r="N46" s="42"/>
      <c r="O46" s="316"/>
      <c r="P46" s="33"/>
    </row>
    <row r="47" spans="2:16" ht="12" hidden="1" customHeight="1" outlineLevel="1" x14ac:dyDescent="0.25">
      <c r="B47" s="30"/>
      <c r="C47" s="306" t="s">
        <v>65</v>
      </c>
      <c r="D47" s="307"/>
      <c r="E47" s="308"/>
      <c r="F47" s="6"/>
      <c r="G47" s="314">
        <f>1/G45</f>
        <v>-0.5041078056319801</v>
      </c>
      <c r="H47" s="44"/>
      <c r="I47" s="314">
        <f>1/I45</f>
        <v>0.33589192096398346</v>
      </c>
      <c r="J47" s="44"/>
      <c r="K47" s="314">
        <f>1/K45</f>
        <v>0.43366285002645505</v>
      </c>
      <c r="L47" s="44"/>
      <c r="M47" s="314">
        <f>1/M45</f>
        <v>0.30502173086941797</v>
      </c>
      <c r="N47" s="44"/>
      <c r="O47" s="314">
        <f>1/O45</f>
        <v>0.13456322458792738</v>
      </c>
      <c r="P47" s="33"/>
    </row>
    <row r="48" spans="2:16" ht="12" hidden="1" customHeight="1" outlineLevel="1" x14ac:dyDescent="0.25">
      <c r="B48" s="30"/>
      <c r="C48" s="309"/>
      <c r="D48" s="310"/>
      <c r="E48" s="311"/>
      <c r="F48" s="6"/>
      <c r="G48" s="315"/>
      <c r="H48" s="44"/>
      <c r="I48" s="315"/>
      <c r="J48" s="44"/>
      <c r="K48" s="315"/>
      <c r="L48" s="44"/>
      <c r="M48" s="315"/>
      <c r="N48" s="44"/>
      <c r="O48" s="315"/>
      <c r="P48" s="33"/>
    </row>
    <row r="49" spans="1:17" ht="10.5" customHeight="1" collapsed="1" x14ac:dyDescent="0.25">
      <c r="B49" s="30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3"/>
    </row>
    <row r="50" spans="1:17" ht="12.75" hidden="1" customHeight="1" outlineLevel="1" x14ac:dyDescent="0.25">
      <c r="B50" s="30"/>
      <c r="C50" s="292" t="s">
        <v>30</v>
      </c>
      <c r="D50" s="293"/>
      <c r="E50" s="294"/>
      <c r="F50" s="6"/>
      <c r="G50" s="336">
        <f>G23/G11</f>
        <v>-9.4451487863962222E-2</v>
      </c>
      <c r="H50" s="42"/>
      <c r="I50" s="336">
        <f>I23/I11</f>
        <v>0.30274192884867018</v>
      </c>
      <c r="J50" s="42"/>
      <c r="K50" s="336">
        <f>K23/K11</f>
        <v>0.24283308354014485</v>
      </c>
      <c r="L50" s="42"/>
      <c r="M50" s="336">
        <f>M23/M11</f>
        <v>0.31851477373187892</v>
      </c>
      <c r="N50" s="42"/>
      <c r="O50" s="336">
        <f>O23/O11</f>
        <v>0.52972726309947082</v>
      </c>
      <c r="P50" s="33"/>
    </row>
    <row r="51" spans="1:17" ht="12.75" hidden="1" customHeight="1" outlineLevel="1" x14ac:dyDescent="0.25">
      <c r="B51" s="30"/>
      <c r="C51" s="295"/>
      <c r="D51" s="296"/>
      <c r="E51" s="297"/>
      <c r="F51" s="6"/>
      <c r="G51" s="316"/>
      <c r="H51" s="42"/>
      <c r="I51" s="316"/>
      <c r="J51" s="42"/>
      <c r="K51" s="316"/>
      <c r="L51" s="42"/>
      <c r="M51" s="316"/>
      <c r="N51" s="42"/>
      <c r="O51" s="316"/>
      <c r="P51" s="33"/>
    </row>
    <row r="52" spans="1:17" ht="12.75" hidden="1" customHeight="1" outlineLevel="1" x14ac:dyDescent="0.25">
      <c r="B52" s="30"/>
      <c r="C52" s="298" t="s">
        <v>28</v>
      </c>
      <c r="D52" s="299"/>
      <c r="E52" s="300"/>
      <c r="F52" s="6"/>
      <c r="G52" s="316">
        <f>G11/$G$62</f>
        <v>5.2659367427597477E-2</v>
      </c>
      <c r="H52" s="42"/>
      <c r="I52" s="316">
        <f>I11/$G$62</f>
        <v>7.6427708874394151E-2</v>
      </c>
      <c r="J52" s="42"/>
      <c r="K52" s="316">
        <f>K11/$G$62</f>
        <v>7.9011523241814346E-2</v>
      </c>
      <c r="L52" s="42"/>
      <c r="M52" s="316">
        <f>M11/$G$62</f>
        <v>7.8211751690156844E-2</v>
      </c>
      <c r="N52" s="42"/>
      <c r="O52" s="316">
        <f>O11/$G$62</f>
        <v>9.3178825276048274E-2</v>
      </c>
      <c r="P52" s="33"/>
    </row>
    <row r="53" spans="1:17" ht="12.75" hidden="1" customHeight="1" outlineLevel="1" x14ac:dyDescent="0.25">
      <c r="B53" s="30"/>
      <c r="C53" s="298"/>
      <c r="D53" s="299"/>
      <c r="E53" s="300"/>
      <c r="F53" s="6"/>
      <c r="G53" s="316"/>
      <c r="H53" s="42"/>
      <c r="I53" s="316"/>
      <c r="J53" s="42"/>
      <c r="K53" s="316"/>
      <c r="L53" s="42"/>
      <c r="M53" s="316"/>
      <c r="N53" s="42"/>
      <c r="O53" s="316"/>
      <c r="P53" s="33"/>
    </row>
    <row r="54" spans="1:17" ht="12.75" hidden="1" customHeight="1" outlineLevel="1" x14ac:dyDescent="0.25">
      <c r="B54" s="30"/>
      <c r="C54" s="298" t="s">
        <v>29</v>
      </c>
      <c r="D54" s="299"/>
      <c r="E54" s="300"/>
      <c r="F54" s="6"/>
      <c r="G54" s="316">
        <f>$G$62/$G$66</f>
        <v>1.0048505724964747</v>
      </c>
      <c r="H54" s="42"/>
      <c r="I54" s="316">
        <f>$G$62/$G$66</f>
        <v>1.0048505724964747</v>
      </c>
      <c r="J54" s="42"/>
      <c r="K54" s="316">
        <f>$G$62/$G$66</f>
        <v>1.0048505724964747</v>
      </c>
      <c r="L54" s="42"/>
      <c r="M54" s="316">
        <f>$G$62/$G$66</f>
        <v>1.0048505724964747</v>
      </c>
      <c r="N54" s="42"/>
      <c r="O54" s="316">
        <f>$G$62/$G$66</f>
        <v>1.0048505724964747</v>
      </c>
      <c r="P54" s="33"/>
    </row>
    <row r="55" spans="1:17" ht="12.75" hidden="1" customHeight="1" outlineLevel="1" x14ac:dyDescent="0.25">
      <c r="B55" s="30"/>
      <c r="C55" s="301"/>
      <c r="D55" s="302"/>
      <c r="E55" s="303"/>
      <c r="F55" s="6"/>
      <c r="G55" s="335"/>
      <c r="H55" s="42"/>
      <c r="I55" s="335"/>
      <c r="J55" s="42"/>
      <c r="K55" s="335"/>
      <c r="L55" s="42"/>
      <c r="M55" s="335"/>
      <c r="N55" s="42"/>
      <c r="O55" s="335"/>
      <c r="P55" s="33"/>
    </row>
    <row r="56" spans="1:17" ht="15.75" collapsed="1" thickBot="1" x14ac:dyDescent="0.3">
      <c r="B56" s="45"/>
      <c r="C56" s="46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8"/>
    </row>
    <row r="57" spans="1:17" x14ac:dyDescent="0.25"/>
    <row r="58" spans="1:17" ht="15.75" thickBot="1" x14ac:dyDescent="0.3">
      <c r="G58" s="10"/>
    </row>
    <row r="59" spans="1:17" ht="8.25" customHeight="1" x14ac:dyDescent="0.25">
      <c r="A59" s="5"/>
      <c r="B59" s="24"/>
      <c r="C59" s="49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9"/>
      <c r="Q59" s="5"/>
    </row>
    <row r="60" spans="1:17" ht="12" customHeight="1" x14ac:dyDescent="0.25">
      <c r="A60" s="5"/>
      <c r="B60" s="30"/>
      <c r="C60" s="304" t="s">
        <v>72</v>
      </c>
      <c r="D60" s="304"/>
      <c r="E60" s="304"/>
      <c r="F60" s="6"/>
      <c r="G60" s="312" t="s">
        <v>71</v>
      </c>
      <c r="H60" s="35"/>
      <c r="I60" s="312" t="s">
        <v>61</v>
      </c>
      <c r="J60" s="50"/>
      <c r="K60" s="312" t="s">
        <v>62</v>
      </c>
      <c r="L60" s="6"/>
      <c r="M60" s="6"/>
      <c r="N60" s="33"/>
      <c r="Q60" s="5"/>
    </row>
    <row r="61" spans="1:17" ht="12" customHeight="1" x14ac:dyDescent="0.25">
      <c r="A61" s="5"/>
      <c r="B61" s="30"/>
      <c r="C61" s="305"/>
      <c r="D61" s="305"/>
      <c r="E61" s="305"/>
      <c r="F61" s="6"/>
      <c r="G61" s="313"/>
      <c r="H61" s="35"/>
      <c r="I61" s="313"/>
      <c r="J61" s="50"/>
      <c r="K61" s="313"/>
      <c r="L61" s="6"/>
      <c r="M61" s="6"/>
      <c r="N61" s="33"/>
    </row>
    <row r="62" spans="1:17" ht="12" customHeight="1" x14ac:dyDescent="0.25">
      <c r="A62" s="5"/>
      <c r="B62" s="30"/>
      <c r="C62" s="292" t="s">
        <v>105</v>
      </c>
      <c r="D62" s="293"/>
      <c r="E62" s="294"/>
      <c r="F62" s="6"/>
      <c r="G62" s="288">
        <f>Portfolio!K49</f>
        <v>8286449.2653333331</v>
      </c>
      <c r="H62" s="6"/>
      <c r="I62" s="288">
        <f>G62-K62</f>
        <v>637649.26533333305</v>
      </c>
      <c r="J62" s="6"/>
      <c r="K62" s="288">
        <f>Portfolio!H49</f>
        <v>7648800</v>
      </c>
      <c r="L62" s="6"/>
      <c r="M62" s="6"/>
      <c r="N62" s="33"/>
    </row>
    <row r="63" spans="1:17" ht="12" customHeight="1" x14ac:dyDescent="0.25">
      <c r="A63" s="5"/>
      <c r="B63" s="30"/>
      <c r="C63" s="295"/>
      <c r="D63" s="296"/>
      <c r="E63" s="297"/>
      <c r="F63" s="6"/>
      <c r="G63" s="288"/>
      <c r="H63" s="6"/>
      <c r="I63" s="288"/>
      <c r="J63" s="6"/>
      <c r="K63" s="288"/>
      <c r="L63" s="6"/>
      <c r="M63" s="6"/>
      <c r="N63" s="33"/>
    </row>
    <row r="64" spans="1:17" ht="12" customHeight="1" x14ac:dyDescent="0.25">
      <c r="A64" s="5"/>
      <c r="B64" s="30"/>
      <c r="C64" s="298" t="s">
        <v>106</v>
      </c>
      <c r="D64" s="299"/>
      <c r="E64" s="300"/>
      <c r="F64" s="6"/>
      <c r="G64" s="288">
        <f>Portfolio!F57</f>
        <v>40000</v>
      </c>
      <c r="H64" s="6"/>
      <c r="I64" s="288">
        <f>Portfolio!F52+Portfolio!F53</f>
        <v>16666.666666666668</v>
      </c>
      <c r="J64" s="6"/>
      <c r="K64" s="288">
        <f>Portfolio!F54+Portfolio!F55</f>
        <v>23333.333333333332</v>
      </c>
      <c r="L64" s="6"/>
      <c r="M64" s="6"/>
      <c r="N64" s="33"/>
    </row>
    <row r="65" spans="1:17" ht="12" customHeight="1" x14ac:dyDescent="0.25">
      <c r="A65" s="5"/>
      <c r="B65" s="30"/>
      <c r="C65" s="298"/>
      <c r="D65" s="299"/>
      <c r="E65" s="300"/>
      <c r="F65" s="6"/>
      <c r="G65" s="288"/>
      <c r="H65" s="6"/>
      <c r="I65" s="289"/>
      <c r="J65" s="6"/>
      <c r="K65" s="289"/>
      <c r="L65" s="6"/>
      <c r="M65" s="6"/>
      <c r="N65" s="33"/>
    </row>
    <row r="66" spans="1:17" ht="12" customHeight="1" x14ac:dyDescent="0.25">
      <c r="A66" s="6"/>
      <c r="B66" s="30"/>
      <c r="C66" s="298" t="s">
        <v>107</v>
      </c>
      <c r="D66" s="299"/>
      <c r="E66" s="300"/>
      <c r="F66" s="6"/>
      <c r="G66" s="288">
        <f>G62-G64</f>
        <v>8246449.2653333331</v>
      </c>
      <c r="H66" s="6"/>
      <c r="I66" s="6"/>
      <c r="J66" s="6"/>
      <c r="K66" s="6"/>
      <c r="L66" s="6"/>
      <c r="M66" s="6"/>
      <c r="N66" s="33"/>
    </row>
    <row r="67" spans="1:17" ht="12" customHeight="1" x14ac:dyDescent="0.25">
      <c r="A67" s="6"/>
      <c r="B67" s="30"/>
      <c r="C67" s="301"/>
      <c r="D67" s="302"/>
      <c r="E67" s="303"/>
      <c r="F67" s="6"/>
      <c r="G67" s="289"/>
      <c r="H67" s="6"/>
      <c r="I67" s="6"/>
      <c r="J67" s="6"/>
      <c r="K67" s="6"/>
      <c r="L67" s="6"/>
      <c r="M67" s="6"/>
      <c r="N67" s="33"/>
    </row>
    <row r="68" spans="1:17" ht="12" customHeight="1" x14ac:dyDescent="0.25">
      <c r="A68" s="6"/>
      <c r="B68" s="30"/>
      <c r="C68" s="34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51"/>
    </row>
    <row r="69" spans="1:17" ht="12" customHeight="1" x14ac:dyDescent="0.25">
      <c r="A69" s="6"/>
      <c r="B69" s="30"/>
      <c r="C69" s="292" t="s">
        <v>69</v>
      </c>
      <c r="D69" s="293"/>
      <c r="E69" s="294"/>
      <c r="F69" s="6"/>
      <c r="G69" s="290">
        <f>K62/G62</f>
        <v>0.92304915592726033</v>
      </c>
      <c r="H69" s="35"/>
      <c r="I69" s="292" t="s">
        <v>26</v>
      </c>
      <c r="J69" s="293"/>
      <c r="K69" s="294"/>
      <c r="L69" s="6"/>
      <c r="M69" s="345">
        <f>G64/G62</f>
        <v>4.827158016563437E-3</v>
      </c>
      <c r="N69" s="33"/>
    </row>
    <row r="70" spans="1:17" ht="12" customHeight="1" x14ac:dyDescent="0.25">
      <c r="A70" s="6"/>
      <c r="B70" s="30"/>
      <c r="C70" s="295"/>
      <c r="D70" s="296"/>
      <c r="E70" s="297"/>
      <c r="F70" s="6"/>
      <c r="G70" s="291"/>
      <c r="H70" s="35"/>
      <c r="I70" s="295"/>
      <c r="J70" s="296"/>
      <c r="K70" s="297"/>
      <c r="L70" s="6"/>
      <c r="M70" s="346">
        <f>G64/G62</f>
        <v>4.827158016563437E-3</v>
      </c>
      <c r="N70" s="33"/>
    </row>
    <row r="71" spans="1:17" ht="12" customHeight="1" x14ac:dyDescent="0.25">
      <c r="A71" s="6"/>
      <c r="B71" s="30"/>
      <c r="C71" s="298" t="s">
        <v>73</v>
      </c>
      <c r="D71" s="299"/>
      <c r="E71" s="300"/>
      <c r="F71" s="6"/>
      <c r="G71" s="291">
        <f>(I62-I64)/G62</f>
        <v>7.4939528232504854E-2</v>
      </c>
      <c r="H71" s="35"/>
      <c r="I71" s="298" t="s">
        <v>68</v>
      </c>
      <c r="J71" s="299"/>
      <c r="K71" s="300"/>
      <c r="L71" s="6"/>
      <c r="M71" s="348">
        <f>I64/G64</f>
        <v>0.41666666666666669</v>
      </c>
      <c r="N71" s="33"/>
    </row>
    <row r="72" spans="1:17" ht="12" customHeight="1" x14ac:dyDescent="0.25">
      <c r="A72" s="6"/>
      <c r="B72" s="30"/>
      <c r="C72" s="298"/>
      <c r="D72" s="299"/>
      <c r="E72" s="300"/>
      <c r="F72" s="6"/>
      <c r="G72" s="291"/>
      <c r="H72" s="35"/>
      <c r="I72" s="298"/>
      <c r="J72" s="299"/>
      <c r="K72" s="300"/>
      <c r="L72" s="6"/>
      <c r="M72" s="348">
        <f>G66/G64</f>
        <v>206.16123163333333</v>
      </c>
      <c r="N72" s="33"/>
      <c r="Q72" s="5"/>
    </row>
    <row r="73" spans="1:17" ht="12" customHeight="1" x14ac:dyDescent="0.25">
      <c r="A73" s="6"/>
      <c r="B73" s="30"/>
      <c r="C73" s="298" t="s">
        <v>70</v>
      </c>
      <c r="D73" s="299"/>
      <c r="E73" s="300"/>
      <c r="F73" s="6"/>
      <c r="G73" s="354">
        <f>I62/I64</f>
        <v>38.258955919999977</v>
      </c>
      <c r="H73" s="35"/>
      <c r="I73" s="298" t="s">
        <v>27</v>
      </c>
      <c r="J73" s="299"/>
      <c r="K73" s="300"/>
      <c r="L73" s="6"/>
      <c r="M73" s="346">
        <f>G64/G66</f>
        <v>4.8505724964747173E-3</v>
      </c>
      <c r="N73" s="33"/>
      <c r="Q73" s="5"/>
    </row>
    <row r="74" spans="1:17" ht="12" customHeight="1" x14ac:dyDescent="0.25">
      <c r="A74" s="6"/>
      <c r="B74" s="30"/>
      <c r="C74" s="301"/>
      <c r="D74" s="302"/>
      <c r="E74" s="303"/>
      <c r="F74" s="6"/>
      <c r="G74" s="355"/>
      <c r="H74" s="35"/>
      <c r="I74" s="301"/>
      <c r="J74" s="302"/>
      <c r="K74" s="303"/>
      <c r="L74" s="6"/>
      <c r="M74" s="347">
        <f>G64/G66</f>
        <v>4.8505724964747173E-3</v>
      </c>
      <c r="N74" s="33"/>
      <c r="Q74" s="5"/>
    </row>
    <row r="75" spans="1:17" ht="12" customHeight="1" x14ac:dyDescent="0.25">
      <c r="A75" s="6"/>
      <c r="B75" s="30"/>
      <c r="C75" s="34"/>
      <c r="D75" s="6"/>
      <c r="E75" s="6"/>
      <c r="F75" s="6"/>
      <c r="G75" s="6"/>
      <c r="H75" s="6"/>
      <c r="I75" s="6"/>
      <c r="J75" s="6"/>
      <c r="K75" s="6"/>
      <c r="L75" s="6"/>
      <c r="M75" s="6"/>
      <c r="N75" s="33"/>
      <c r="Q75" s="5"/>
    </row>
    <row r="76" spans="1:17" ht="10.5" hidden="1" customHeight="1" thickTop="1" x14ac:dyDescent="0.25">
      <c r="A76" s="6"/>
      <c r="B76" s="30"/>
      <c r="C76" s="34"/>
      <c r="D76" s="35"/>
      <c r="E76" s="35"/>
      <c r="F76" s="6"/>
      <c r="G76" s="6"/>
      <c r="H76" s="6"/>
      <c r="I76" s="6"/>
      <c r="J76" s="6"/>
      <c r="K76" s="6"/>
      <c r="L76" s="6"/>
      <c r="M76" s="6"/>
      <c r="N76" s="33"/>
      <c r="Q76" s="5"/>
    </row>
    <row r="77" spans="1:17" ht="10.5" hidden="1" customHeight="1" x14ac:dyDescent="0.25">
      <c r="A77" s="6"/>
      <c r="B77" s="30"/>
      <c r="C77" s="349" t="s">
        <v>30</v>
      </c>
      <c r="D77" s="23"/>
      <c r="E77" s="23"/>
      <c r="F77" s="6"/>
      <c r="G77" s="343" t="e">
        <f>M23/#REF!</f>
        <v>#REF!</v>
      </c>
      <c r="H77" s="6"/>
      <c r="I77" s="6"/>
      <c r="J77" s="6"/>
      <c r="K77" s="6"/>
      <c r="L77" s="6"/>
      <c r="M77" s="6"/>
      <c r="N77" s="33"/>
      <c r="Q77" s="5"/>
    </row>
    <row r="78" spans="1:17" ht="10.5" hidden="1" customHeight="1" thickBot="1" x14ac:dyDescent="0.3">
      <c r="A78" s="6"/>
      <c r="B78" s="30"/>
      <c r="C78" s="342"/>
      <c r="D78" s="23"/>
      <c r="E78" s="23"/>
      <c r="F78" s="6"/>
      <c r="G78" s="344"/>
      <c r="H78" s="6"/>
      <c r="I78" s="6"/>
      <c r="J78" s="6"/>
      <c r="K78" s="6"/>
      <c r="L78" s="6"/>
      <c r="M78" s="6"/>
      <c r="N78" s="33"/>
      <c r="Q78" s="5"/>
    </row>
    <row r="79" spans="1:17" ht="10.5" hidden="1" customHeight="1" thickTop="1" x14ac:dyDescent="0.25">
      <c r="A79" s="6"/>
      <c r="B79" s="30"/>
      <c r="C79" s="341" t="s">
        <v>28</v>
      </c>
      <c r="D79" s="23"/>
      <c r="E79" s="23"/>
      <c r="F79" s="6"/>
      <c r="G79" s="316" t="e">
        <f>#REF!/G62</f>
        <v>#REF!</v>
      </c>
      <c r="H79" s="6"/>
      <c r="I79" s="6"/>
      <c r="J79" s="6"/>
      <c r="K79" s="6"/>
      <c r="L79" s="6"/>
      <c r="M79" s="6"/>
      <c r="N79" s="33"/>
      <c r="Q79" s="5"/>
    </row>
    <row r="80" spans="1:17" ht="10.5" hidden="1" customHeight="1" thickBot="1" x14ac:dyDescent="0.3">
      <c r="A80" s="6"/>
      <c r="B80" s="30"/>
      <c r="C80" s="342"/>
      <c r="D80" s="23"/>
      <c r="E80" s="23"/>
      <c r="F80" s="6"/>
      <c r="G80" s="316"/>
      <c r="H80" s="6"/>
      <c r="I80" s="6"/>
      <c r="J80" s="6"/>
      <c r="K80" s="6"/>
      <c r="L80" s="6"/>
      <c r="M80" s="6"/>
      <c r="N80" s="33"/>
      <c r="Q80" s="5"/>
    </row>
    <row r="81" spans="1:17" ht="10.5" hidden="1" customHeight="1" thickTop="1" x14ac:dyDescent="0.25">
      <c r="A81" s="6"/>
      <c r="B81" s="30"/>
      <c r="C81" s="341" t="s">
        <v>29</v>
      </c>
      <c r="D81" s="23"/>
      <c r="E81" s="23"/>
      <c r="F81" s="6"/>
      <c r="G81" s="316">
        <f>G62/G66</f>
        <v>1.0048505724964747</v>
      </c>
      <c r="H81" s="6"/>
      <c r="I81" s="6"/>
      <c r="J81" s="6"/>
      <c r="K81" s="6"/>
      <c r="L81" s="6"/>
      <c r="M81" s="6"/>
      <c r="N81" s="33"/>
      <c r="Q81" s="5"/>
    </row>
    <row r="82" spans="1:17" ht="10.5" hidden="1" customHeight="1" thickBot="1" x14ac:dyDescent="0.3">
      <c r="A82" s="6"/>
      <c r="B82" s="30"/>
      <c r="C82" s="342"/>
      <c r="D82" s="23"/>
      <c r="E82" s="23"/>
      <c r="F82" s="6"/>
      <c r="G82" s="335"/>
      <c r="H82" s="6"/>
      <c r="I82" s="6"/>
      <c r="J82" s="6"/>
      <c r="K82" s="6"/>
      <c r="L82" s="6"/>
      <c r="M82" s="6"/>
      <c r="N82" s="33"/>
      <c r="Q82" s="5"/>
    </row>
    <row r="83" spans="1:17" ht="8.25" customHeight="1" thickBot="1" x14ac:dyDescent="0.3">
      <c r="A83" s="6"/>
      <c r="B83" s="45"/>
      <c r="C83" s="46"/>
      <c r="D83" s="52"/>
      <c r="E83" s="52"/>
      <c r="F83" s="47"/>
      <c r="G83" s="47"/>
      <c r="H83" s="47"/>
      <c r="I83" s="47"/>
      <c r="J83" s="47"/>
      <c r="K83" s="47"/>
      <c r="L83" s="47"/>
      <c r="M83" s="47"/>
      <c r="N83" s="48"/>
      <c r="Q83" s="5"/>
    </row>
    <row r="84" spans="1:17" ht="8.25" customHeight="1" x14ac:dyDescent="0.25">
      <c r="A84" s="6"/>
      <c r="C84" s="4"/>
      <c r="D84" s="9"/>
      <c r="E84" s="9"/>
      <c r="F84" s="4"/>
      <c r="G84" s="3"/>
      <c r="H84" s="3"/>
      <c r="Q84" s="5"/>
    </row>
  </sheetData>
  <mergeCells count="152">
    <mergeCell ref="C79:C80"/>
    <mergeCell ref="C81:C82"/>
    <mergeCell ref="G77:G78"/>
    <mergeCell ref="G79:G80"/>
    <mergeCell ref="G81:G82"/>
    <mergeCell ref="G11:G12"/>
    <mergeCell ref="I11:I12"/>
    <mergeCell ref="K11:K12"/>
    <mergeCell ref="M11:M12"/>
    <mergeCell ref="M69:M70"/>
    <mergeCell ref="M73:M74"/>
    <mergeCell ref="G62:G63"/>
    <mergeCell ref="G64:G65"/>
    <mergeCell ref="G66:G67"/>
    <mergeCell ref="M71:M72"/>
    <mergeCell ref="C64:E65"/>
    <mergeCell ref="C62:E63"/>
    <mergeCell ref="C77:C78"/>
    <mergeCell ref="K25:K26"/>
    <mergeCell ref="G34:G35"/>
    <mergeCell ref="I34:I35"/>
    <mergeCell ref="M34:M35"/>
    <mergeCell ref="K50:K51"/>
    <mergeCell ref="M50:M51"/>
    <mergeCell ref="O34:O35"/>
    <mergeCell ref="K34:K35"/>
    <mergeCell ref="G32:G33"/>
    <mergeCell ref="I32:I33"/>
    <mergeCell ref="M32:M33"/>
    <mergeCell ref="O32:O33"/>
    <mergeCell ref="K32:K33"/>
    <mergeCell ref="O8:O9"/>
    <mergeCell ref="M8:M9"/>
    <mergeCell ref="M16:M17"/>
    <mergeCell ref="O16:O17"/>
    <mergeCell ref="G16:G17"/>
    <mergeCell ref="I16:I17"/>
    <mergeCell ref="K8:K9"/>
    <mergeCell ref="O11:O12"/>
    <mergeCell ref="O18:O19"/>
    <mergeCell ref="G18:G19"/>
    <mergeCell ref="I18:I19"/>
    <mergeCell ref="M18:M19"/>
    <mergeCell ref="K16:K17"/>
    <mergeCell ref="K18:K19"/>
    <mergeCell ref="M30:M31"/>
    <mergeCell ref="O30:O31"/>
    <mergeCell ref="M21:M22"/>
    <mergeCell ref="O21:O22"/>
    <mergeCell ref="G23:G24"/>
    <mergeCell ref="I23:I24"/>
    <mergeCell ref="M23:M24"/>
    <mergeCell ref="O23:O24"/>
    <mergeCell ref="M28:M29"/>
    <mergeCell ref="O28:O29"/>
    <mergeCell ref="K28:K29"/>
    <mergeCell ref="K30:K31"/>
    <mergeCell ref="G21:G22"/>
    <mergeCell ref="I21:I22"/>
    <mergeCell ref="G28:G29"/>
    <mergeCell ref="I28:I29"/>
    <mergeCell ref="G25:G26"/>
    <mergeCell ref="I25:I26"/>
    <mergeCell ref="G30:G31"/>
    <mergeCell ref="I30:I31"/>
    <mergeCell ref="O25:O26"/>
    <mergeCell ref="M25:M26"/>
    <mergeCell ref="K21:K22"/>
    <mergeCell ref="K23:K24"/>
    <mergeCell ref="O37:O38"/>
    <mergeCell ref="G39:G40"/>
    <mergeCell ref="I39:I40"/>
    <mergeCell ref="K39:K40"/>
    <mergeCell ref="M39:M40"/>
    <mergeCell ref="O39:O40"/>
    <mergeCell ref="C39:E40"/>
    <mergeCell ref="G37:G38"/>
    <mergeCell ref="I37:I38"/>
    <mergeCell ref="K37:K38"/>
    <mergeCell ref="M37:M38"/>
    <mergeCell ref="O54:O55"/>
    <mergeCell ref="K60:K61"/>
    <mergeCell ref="I60:I61"/>
    <mergeCell ref="G45:G46"/>
    <mergeCell ref="I45:I46"/>
    <mergeCell ref="K45:K46"/>
    <mergeCell ref="M45:M46"/>
    <mergeCell ref="O45:O46"/>
    <mergeCell ref="G41:G42"/>
    <mergeCell ref="G54:G55"/>
    <mergeCell ref="I54:I55"/>
    <mergeCell ref="K54:K55"/>
    <mergeCell ref="M54:M55"/>
    <mergeCell ref="O50:O51"/>
    <mergeCell ref="G52:G53"/>
    <mergeCell ref="I52:I53"/>
    <mergeCell ref="K52:K53"/>
    <mergeCell ref="M52:M53"/>
    <mergeCell ref="O52:O53"/>
    <mergeCell ref="G50:G51"/>
    <mergeCell ref="I50:I51"/>
    <mergeCell ref="K41:K42"/>
    <mergeCell ref="M41:M42"/>
    <mergeCell ref="O41:O42"/>
    <mergeCell ref="G47:G48"/>
    <mergeCell ref="I47:I48"/>
    <mergeCell ref="K47:K48"/>
    <mergeCell ref="M47:M48"/>
    <mergeCell ref="O47:O48"/>
    <mergeCell ref="K43:K44"/>
    <mergeCell ref="M43:M44"/>
    <mergeCell ref="O43:O44"/>
    <mergeCell ref="C8:C9"/>
    <mergeCell ref="G43:G44"/>
    <mergeCell ref="I43:I44"/>
    <mergeCell ref="C11:E12"/>
    <mergeCell ref="C16:E17"/>
    <mergeCell ref="C18:E19"/>
    <mergeCell ref="C21:E22"/>
    <mergeCell ref="C23:E24"/>
    <mergeCell ref="C25:E26"/>
    <mergeCell ref="C28:E29"/>
    <mergeCell ref="C30:E31"/>
    <mergeCell ref="C32:E33"/>
    <mergeCell ref="C34:E35"/>
    <mergeCell ref="C37:E38"/>
    <mergeCell ref="I41:I42"/>
    <mergeCell ref="G8:G9"/>
    <mergeCell ref="I8:I9"/>
    <mergeCell ref="K62:K63"/>
    <mergeCell ref="K64:K65"/>
    <mergeCell ref="G69:G70"/>
    <mergeCell ref="G71:G72"/>
    <mergeCell ref="G73:G74"/>
    <mergeCell ref="C69:E70"/>
    <mergeCell ref="C71:E72"/>
    <mergeCell ref="C73:E74"/>
    <mergeCell ref="C66:E67"/>
    <mergeCell ref="I69:K70"/>
    <mergeCell ref="I71:K72"/>
    <mergeCell ref="I73:K74"/>
    <mergeCell ref="C60:E61"/>
    <mergeCell ref="C41:E42"/>
    <mergeCell ref="C43:E44"/>
    <mergeCell ref="C45:E46"/>
    <mergeCell ref="C47:E48"/>
    <mergeCell ref="C50:E51"/>
    <mergeCell ref="G60:G61"/>
    <mergeCell ref="I62:I63"/>
    <mergeCell ref="I64:I65"/>
    <mergeCell ref="C54:E55"/>
    <mergeCell ref="C52:E53"/>
  </mergeCells>
  <conditionalFormatting sqref="G34:O35">
    <cfRule type="iconSet" priority="8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G41:G42 I41:I42 K41:K42 M41:M42 O41:O42">
    <cfRule type="iconSet" priority="6">
      <iconSet iconSet="5Arrows">
        <cfvo type="percent" val="0"/>
        <cfvo type="num" val="1"/>
        <cfvo type="num" val="1.25"/>
        <cfvo type="num" val="1.5"/>
        <cfvo type="num" val="2"/>
      </iconSet>
    </cfRule>
  </conditionalFormatting>
  <conditionalFormatting sqref="G43:G44 I43:I44 K43:K44 M43:M44 O43:O44">
    <cfRule type="iconSet" priority="5">
      <iconSet iconSet="5Arrows">
        <cfvo type="percent" val="0"/>
        <cfvo type="num" val="1"/>
        <cfvo type="num" val="2"/>
        <cfvo type="num" val="3"/>
        <cfvo type="num" val="4"/>
      </iconSet>
    </cfRule>
  </conditionalFormatting>
  <conditionalFormatting sqref="G45:O46">
    <cfRule type="iconSet" priority="4">
      <iconSet iconSet="5Arrows">
        <cfvo type="percent" val="0"/>
        <cfvo type="num" val="0"/>
        <cfvo type="num" val="0.2"/>
        <cfvo type="num" val="0.25"/>
        <cfvo type="num" val="0.35"/>
      </iconSet>
    </cfRule>
  </conditionalFormatting>
  <conditionalFormatting sqref="G69:G70">
    <cfRule type="iconSet" priority="3">
      <iconSet iconSet="3Arrows">
        <cfvo type="percent" val="0"/>
        <cfvo type="num" val="0.5"/>
        <cfvo type="num" val="0.7"/>
      </iconSet>
    </cfRule>
  </conditionalFormatting>
  <conditionalFormatting sqref="G73:G74">
    <cfRule type="iconSet" priority="2">
      <iconSet iconSet="3Arrows">
        <cfvo type="percent" val="0"/>
        <cfvo type="num" val="1"/>
        <cfvo type="num" val="2"/>
      </iconSet>
    </cfRule>
  </conditionalFormatting>
  <conditionalFormatting sqref="M71:M72">
    <cfRule type="iconSet" priority="1">
      <iconSet iconSet="3Arrows" reverse="1">
        <cfvo type="percent" val="0"/>
        <cfvo type="num" val="0.25"/>
        <cfvo type="num" val="0.75"/>
      </iconSet>
    </cfRule>
  </conditionalFormatting>
  <printOptions horizontalCentered="1" verticalCentered="1"/>
  <pageMargins left="0.23622047244094491" right="0.23622047244094491" top="0.35433070866141736" bottom="0.35433070866141736" header="0.31496062992125984" footer="0.31496062992125984"/>
  <pageSetup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Gráficos</vt:lpstr>
      </vt:variant>
      <vt:variant>
        <vt:i4>1</vt:i4>
      </vt:variant>
    </vt:vector>
  </HeadingPairs>
  <TitlesOfParts>
    <vt:vector size="4" baseType="lpstr">
      <vt:lpstr>Instructivo</vt:lpstr>
      <vt:lpstr>Portfolio</vt:lpstr>
      <vt:lpstr>Tablero</vt:lpstr>
      <vt:lpstr>Riesgo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Galdeano</dc:creator>
  <cp:lastModifiedBy>daniel almazan sendino</cp:lastModifiedBy>
  <cp:lastPrinted>2017-06-01T20:26:47Z</cp:lastPrinted>
  <dcterms:created xsi:type="dcterms:W3CDTF">2015-02-25T18:12:40Z</dcterms:created>
  <dcterms:modified xsi:type="dcterms:W3CDTF">2021-04-26T19:08:17Z</dcterms:modified>
</cp:coreProperties>
</file>