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charts/chart8.xml" ContentType="application/vnd.openxmlformats-officedocument.drawingml.chart+xml"/>
  <Override PartName="/xl/charts/chart9.xml" ContentType="application/vnd.openxmlformats-officedocument.drawingml.chart+xml"/>
  <Override PartName="/xl/charts/style7.xml" ContentType="application/vnd.ms-office.chartstyle+xml"/>
  <Override PartName="/xl/charts/colors7.xml" ContentType="application/vnd.ms-office.chartcolorstyle+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29"/>
  <workbookPr autoCompressPictures="0"/>
  <mc:AlternateContent xmlns:mc="http://schemas.openxmlformats.org/markup-compatibility/2006">
    <mc:Choice Requires="x15">
      <x15ac:absPath xmlns:x15ac="http://schemas.microsoft.com/office/spreadsheetml/2010/11/ac" url="G:\.shortcut-targets-by-id\1uyyI0hb-NDLL2ZnL-zTBut4hehDwaj8m\COMISION EMPRESARIAL\Herramientas\1. DISE\"/>
    </mc:Choice>
  </mc:AlternateContent>
  <xr:revisionPtr revIDLastSave="0" documentId="13_ncr:1_{E504E164-65EF-40C6-8F1B-82A46AAE46A5}" xr6:coauthVersionLast="45" xr6:coauthVersionMax="45" xr10:uidLastSave="{00000000-0000-0000-0000-000000000000}"/>
  <bookViews>
    <workbookView xWindow="-120" yWindow="-120" windowWidth="20730" windowHeight="11160" activeTab="3" xr2:uid="{00000000-000D-0000-FFFF-FFFF00000000}"/>
  </bookViews>
  <sheets>
    <sheet name="Introducción" sheetId="5" r:id="rId1"/>
    <sheet name="Carga de datos" sheetId="8" r:id="rId2"/>
    <sheet name="Indicadores Empresariales" sheetId="7" r:id="rId3"/>
    <sheet name="Tablero" sheetId="6" r:id="rId4"/>
  </sheet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22" i="8" l="1"/>
  <c r="L21" i="8"/>
  <c r="L20" i="8"/>
  <c r="C39" i="7" l="1"/>
  <c r="L18" i="6"/>
  <c r="AI53" i="7" l="1"/>
  <c r="AI52" i="7"/>
  <c r="AI51" i="7"/>
  <c r="AI50" i="7"/>
  <c r="AI49" i="7"/>
  <c r="AI48" i="7"/>
  <c r="AI47" i="7"/>
  <c r="AI46" i="7"/>
  <c r="AI45" i="7"/>
  <c r="AI44" i="7"/>
  <c r="AI36" i="7"/>
  <c r="AI12" i="7"/>
  <c r="C21" i="7" l="1"/>
  <c r="C9" i="7" l="1"/>
  <c r="S13" i="7"/>
  <c r="T13" i="7"/>
  <c r="BA16" i="6"/>
  <c r="AZ16" i="6"/>
  <c r="AS19" i="6"/>
  <c r="AR19" i="6"/>
  <c r="Y18" i="7" l="1"/>
  <c r="Y19" i="7" s="1"/>
  <c r="Z17" i="7"/>
  <c r="AB17" i="7" s="1"/>
  <c r="AA17" i="7" l="1"/>
  <c r="AC17" i="7"/>
  <c r="Z18" i="7"/>
  <c r="AA18" i="7" s="1"/>
  <c r="Z19" i="7"/>
  <c r="AA19" i="7" s="1"/>
  <c r="Y20" i="7"/>
  <c r="AB18" i="7" l="1"/>
  <c r="AC18" i="7" s="1"/>
  <c r="AB19" i="7"/>
  <c r="AC19" i="7" s="1"/>
  <c r="AA20" i="7"/>
  <c r="AC20" i="7" s="1"/>
  <c r="Y21" i="7"/>
  <c r="Z20" i="7"/>
  <c r="AB20" i="7"/>
  <c r="Y22" i="7" l="1"/>
  <c r="Z21" i="7"/>
  <c r="AA21" i="7" s="1"/>
  <c r="AB21" i="7"/>
  <c r="AC21" i="7" l="1"/>
  <c r="Y23" i="7"/>
  <c r="Z22" i="7"/>
  <c r="AB22" i="7" s="1"/>
  <c r="AA22" i="7" l="1"/>
  <c r="AC22" i="7" s="1"/>
  <c r="Z23" i="7"/>
  <c r="AB23" i="7" s="1"/>
  <c r="Y24" i="7"/>
  <c r="Y25" i="7" l="1"/>
  <c r="Z24" i="7"/>
  <c r="AA24" i="7" s="1"/>
  <c r="AB24" i="7"/>
  <c r="AA23" i="7"/>
  <c r="AC23" i="7" s="1"/>
  <c r="AC24" i="7" l="1"/>
  <c r="Y26" i="7"/>
  <c r="Z25" i="7"/>
  <c r="AA25" i="7" s="1"/>
  <c r="AB25" i="7"/>
  <c r="AC25" i="7" l="1"/>
  <c r="Z26" i="7"/>
  <c r="AB26" i="7" s="1"/>
  <c r="AA26" i="7"/>
  <c r="D15" i="6"/>
  <c r="E15" i="6" s="1"/>
  <c r="D12" i="6"/>
  <c r="E12" i="6" s="1"/>
  <c r="D13" i="6"/>
  <c r="E13" i="6" s="1"/>
  <c r="D14" i="6"/>
  <c r="E14" i="6" s="1"/>
  <c r="D11" i="6"/>
  <c r="E11" i="6" s="1"/>
  <c r="AC26" i="7" l="1"/>
  <c r="E18" i="8"/>
  <c r="G18" i="8"/>
  <c r="G21" i="8"/>
  <c r="E20" i="8"/>
  <c r="G20" i="8"/>
  <c r="E19" i="8"/>
  <c r="G19" i="8"/>
  <c r="G16" i="8"/>
  <c r="E21" i="8"/>
  <c r="E16" i="8"/>
  <c r="G23" i="8" l="1"/>
  <c r="AI30" i="7"/>
  <c r="AI21" i="7"/>
  <c r="AR27" i="6" s="1"/>
  <c r="AI31" i="7"/>
  <c r="I13" i="8"/>
  <c r="I14" i="8"/>
  <c r="D17" i="8"/>
  <c r="F18" i="8"/>
  <c r="I18" i="8"/>
  <c r="F19" i="8"/>
  <c r="I19" i="8"/>
  <c r="L19" i="8" s="1"/>
  <c r="F20" i="8"/>
  <c r="I20" i="8"/>
  <c r="F21" i="8"/>
  <c r="I21" i="8"/>
  <c r="AS27" i="6" l="1"/>
  <c r="AR33" i="6"/>
  <c r="AS33" i="6" s="1"/>
  <c r="K21" i="8"/>
  <c r="K20" i="8"/>
  <c r="K19" i="8"/>
  <c r="K18" i="8"/>
  <c r="L18" i="8"/>
  <c r="U13" i="7"/>
  <c r="AW35" i="6" l="1"/>
  <c r="AV35" i="6"/>
  <c r="U15" i="7"/>
  <c r="S15" i="7"/>
  <c r="T15" i="7"/>
  <c r="L22" i="6"/>
  <c r="I35" i="8" l="1"/>
  <c r="O35" i="8"/>
  <c r="N36" i="8"/>
  <c r="M35" i="8"/>
  <c r="I37" i="8" s="1"/>
  <c r="N34" i="8"/>
  <c r="M36" i="8" s="1"/>
  <c r="G38" i="8" l="1"/>
  <c r="O38" i="8"/>
  <c r="N38" i="8"/>
  <c r="M38" i="8"/>
  <c r="K38" i="8"/>
  <c r="J38" i="8"/>
  <c r="L34" i="8"/>
  <c r="L36" i="8" s="1"/>
  <c r="H36" i="8" s="1"/>
  <c r="D32" i="8" s="1"/>
  <c r="H35" i="8"/>
  <c r="D31" i="8" s="1"/>
  <c r="H37" i="8"/>
  <c r="D33" i="8" s="1"/>
  <c r="L38" i="8" l="1"/>
  <c r="H34" i="8"/>
  <c r="D30" i="8" s="1"/>
  <c r="D34" i="8" s="1"/>
  <c r="C31" i="7"/>
  <c r="L19" i="6" s="1"/>
  <c r="K31" i="8"/>
  <c r="L32" i="8"/>
  <c r="J32" i="8"/>
  <c r="M32" i="8"/>
  <c r="N32" i="8"/>
  <c r="I38" i="8"/>
  <c r="H38" i="8" s="1"/>
  <c r="I32" i="8"/>
  <c r="K32" i="8"/>
  <c r="O32" i="8"/>
  <c r="J31" i="8" l="1"/>
  <c r="I31" i="8"/>
  <c r="O31" i="8"/>
  <c r="L31" i="8"/>
  <c r="M31" i="8"/>
  <c r="N31" i="8"/>
  <c r="L39" i="8"/>
  <c r="C20" i="7"/>
  <c r="AR10" i="6" s="1"/>
  <c r="AR16" i="6" s="1"/>
  <c r="AS16" i="6" s="1"/>
  <c r="AV15" i="6" l="1"/>
  <c r="AW15" i="6"/>
  <c r="A20" i="7"/>
  <c r="H53" i="6" s="1"/>
  <c r="C56" i="6" s="1"/>
  <c r="J39" i="8"/>
  <c r="K39" i="8"/>
  <c r="N39" i="8"/>
  <c r="O39" i="8"/>
  <c r="I39" i="8"/>
  <c r="M39" i="8"/>
  <c r="B53" i="6"/>
  <c r="D52" i="6"/>
  <c r="C51" i="7"/>
  <c r="P40" i="6" s="1"/>
  <c r="X37" i="6"/>
  <c r="C13" i="7"/>
  <c r="Y32" i="6"/>
  <c r="Z32" i="6"/>
  <c r="AA32" i="6"/>
  <c r="AB32" i="6"/>
  <c r="AC32" i="6"/>
  <c r="AD32" i="6"/>
  <c r="Y33" i="6"/>
  <c r="Z33" i="6"/>
  <c r="AA33" i="6"/>
  <c r="AB33" i="6"/>
  <c r="AC33" i="6"/>
  <c r="AD33" i="6"/>
  <c r="X33" i="6"/>
  <c r="X32" i="6"/>
  <c r="P32" i="8"/>
  <c r="P31" i="8"/>
  <c r="D10" i="6"/>
  <c r="E10" i="6" l="1"/>
  <c r="G15" i="8"/>
  <c r="E15" i="8"/>
  <c r="P39" i="8"/>
  <c r="L33" i="8"/>
  <c r="AA34" i="6" s="1"/>
  <c r="D39" i="8"/>
  <c r="C23" i="7"/>
  <c r="C45" i="7"/>
  <c r="P34" i="6" s="1"/>
  <c r="C44" i="7"/>
  <c r="P33" i="6" s="1"/>
  <c r="M33" i="8"/>
  <c r="AB34" i="6" s="1"/>
  <c r="K33" i="8"/>
  <c r="Z34" i="6" s="1"/>
  <c r="O33" i="8"/>
  <c r="AD34" i="6" s="1"/>
  <c r="I33" i="8"/>
  <c r="X34" i="6" s="1"/>
  <c r="N33" i="8"/>
  <c r="AC34" i="6" s="1"/>
  <c r="J33" i="8"/>
  <c r="Y34" i="6" s="1"/>
  <c r="F16" i="8" l="1"/>
  <c r="I16" i="8"/>
  <c r="F15" i="8"/>
  <c r="I15" i="8"/>
  <c r="A23" i="7"/>
  <c r="I53" i="6" s="1"/>
  <c r="D56" i="6" s="1"/>
  <c r="AR11" i="6"/>
  <c r="AS11" i="6" l="1"/>
  <c r="AR17" i="6"/>
  <c r="AS17" i="6" s="1"/>
  <c r="L16" i="8"/>
  <c r="K16" i="8"/>
  <c r="L15" i="8"/>
  <c r="K15" i="8"/>
  <c r="D29" i="8"/>
  <c r="AV19" i="6" l="1"/>
  <c r="AW19" i="6"/>
  <c r="D31" i="6"/>
  <c r="E33" i="6" s="1"/>
  <c r="E34" i="6" l="1"/>
  <c r="E35" i="6"/>
  <c r="E36" i="6" s="1"/>
  <c r="AS10" i="6"/>
  <c r="D36" i="8"/>
  <c r="X38" i="6" s="1"/>
  <c r="Y38" i="6" s="1"/>
  <c r="E37" i="6" l="1"/>
  <c r="C48" i="7" l="1"/>
  <c r="P37" i="6" s="1"/>
  <c r="C46" i="7"/>
  <c r="P35" i="6" s="1"/>
  <c r="D41" i="8"/>
  <c r="C47" i="7" s="1"/>
  <c r="P36" i="6" s="1"/>
  <c r="X39" i="6"/>
  <c r="Y39" i="6" s="1"/>
  <c r="E38" i="6"/>
  <c r="E39" i="6" s="1"/>
  <c r="E22" i="8"/>
  <c r="D22" i="8"/>
  <c r="AJ13" i="6"/>
  <c r="AK13" i="6" s="1"/>
  <c r="G52" i="6"/>
  <c r="AI32" i="7" l="1"/>
  <c r="AI37" i="7"/>
  <c r="AI38" i="7" s="1"/>
  <c r="AI39" i="7" s="1"/>
  <c r="AI33" i="7"/>
  <c r="AI29" i="7"/>
  <c r="C29" i="7"/>
  <c r="D23" i="8"/>
  <c r="G53" i="6"/>
  <c r="B56" i="6" s="1"/>
  <c r="A56" i="6" s="1"/>
  <c r="X40" i="6"/>
  <c r="Y40" i="6" s="1"/>
  <c r="C49" i="7"/>
  <c r="P38" i="6" s="1"/>
  <c r="C53" i="7"/>
  <c r="P42" i="6" s="1"/>
  <c r="C52" i="7"/>
  <c r="P41" i="6" s="1"/>
  <c r="C22" i="7"/>
  <c r="AG10" i="6"/>
  <c r="AH10" i="6" s="1"/>
  <c r="AR13" i="6"/>
  <c r="AS13" i="6" s="1"/>
  <c r="C19" i="7"/>
  <c r="C37" i="7"/>
  <c r="I22" i="8"/>
  <c r="K22" i="8" s="1"/>
  <c r="C27" i="7"/>
  <c r="AK10" i="6" s="1"/>
  <c r="D43" i="8"/>
  <c r="C12" i="7" s="1"/>
  <c r="Y10" i="6"/>
  <c r="C10" i="7" l="1"/>
  <c r="C28" i="7"/>
  <c r="AK9" i="6" s="1"/>
  <c r="AJ9" i="6" s="1"/>
  <c r="AR12" i="6"/>
  <c r="AR9" i="6"/>
  <c r="AS9" i="6" s="1"/>
  <c r="Z10" i="6"/>
  <c r="D45" i="8"/>
  <c r="C50" i="7" s="1"/>
  <c r="P39" i="6" s="1"/>
  <c r="X41" i="6"/>
  <c r="Y41" i="6" s="1"/>
  <c r="AJ10" i="6"/>
  <c r="C14" i="7"/>
  <c r="AG11" i="6" s="1"/>
  <c r="AH11" i="6" s="1"/>
  <c r="C36" i="7"/>
  <c r="C38" i="7" s="1"/>
  <c r="AG9" i="6"/>
  <c r="AH9" i="6" s="1"/>
  <c r="AS12" i="6" l="1"/>
  <c r="AR18" i="6"/>
  <c r="AS18" i="6" s="1"/>
  <c r="L24" i="6"/>
  <c r="L23" i="6"/>
  <c r="Z15" i="6"/>
  <c r="AA15" i="6"/>
  <c r="AV11" i="6"/>
  <c r="AW11" i="6"/>
  <c r="Y11" i="6"/>
  <c r="Z11" i="6" s="1"/>
  <c r="D48" i="8"/>
  <c r="X42" i="6"/>
  <c r="Y42" i="6" s="1"/>
  <c r="BA11" i="6" l="1"/>
  <c r="AZ11" i="6"/>
  <c r="C15" i="7"/>
  <c r="C30" i="7"/>
  <c r="AD15" i="6"/>
  <c r="AE15" i="6"/>
  <c r="C32" i="7"/>
  <c r="L20" i="6" s="1"/>
  <c r="C33" i="7"/>
  <c r="L21" i="6" s="1"/>
  <c r="X44" i="6"/>
  <c r="Y44" i="6" s="1"/>
  <c r="E12" i="8" l="1"/>
  <c r="I12" i="8" s="1"/>
  <c r="E11" i="8"/>
  <c r="AJ14" i="6"/>
  <c r="AK14" i="6" s="1"/>
  <c r="AI20" i="7" l="1"/>
  <c r="AR26" i="6" s="1"/>
  <c r="E16" i="6"/>
  <c r="Y12" i="6" s="1"/>
  <c r="Z12" i="6" s="1"/>
  <c r="K12" i="8"/>
  <c r="L12" i="8"/>
  <c r="E17" i="8"/>
  <c r="I11" i="8"/>
  <c r="L11" i="8" s="1"/>
  <c r="AR32" i="6" l="1"/>
  <c r="AS32" i="6" s="1"/>
  <c r="AS26" i="6"/>
  <c r="E23" i="8"/>
  <c r="AI9" i="7"/>
  <c r="AI27" i="7"/>
  <c r="AI13" i="7"/>
  <c r="AI23" i="7"/>
  <c r="AR29" i="6" s="1"/>
  <c r="AI19" i="7"/>
  <c r="AR25" i="6" s="1"/>
  <c r="AS25" i="6" s="1"/>
  <c r="AI22" i="7"/>
  <c r="AR28" i="6" s="1"/>
  <c r="Z19" i="6"/>
  <c r="AA19" i="6"/>
  <c r="I17" i="8"/>
  <c r="K11" i="8"/>
  <c r="AW27" i="6" l="1"/>
  <c r="AV27" i="6"/>
  <c r="AS29" i="6"/>
  <c r="AR35" i="6"/>
  <c r="AS35" i="6" s="1"/>
  <c r="AS28" i="6"/>
  <c r="AR34" i="6"/>
  <c r="AS34" i="6" s="1"/>
  <c r="AW31" i="6"/>
  <c r="AV31" i="6"/>
  <c r="AI10" i="7"/>
  <c r="AI28" i="7"/>
  <c r="AI14" i="7"/>
  <c r="AI15" i="7"/>
  <c r="I23" i="8"/>
  <c r="L23" i="8" s="1"/>
  <c r="O16" i="8" s="1"/>
  <c r="K17" i="8"/>
  <c r="L17" i="8"/>
  <c r="BA32" i="6" l="1"/>
  <c r="AZ32" i="6"/>
  <c r="AZ27" i="6"/>
  <c r="BA27" i="6"/>
  <c r="K23" i="8"/>
  <c r="O13" i="8" s="1"/>
  <c r="O14" i="8"/>
  <c r="O15" i="8"/>
  <c r="O11" i="8" l="1"/>
  <c r="O12" i="8"/>
  <c r="P15" i="8"/>
  <c r="P14" i="8"/>
  <c r="P16" i="8"/>
  <c r="P12" i="8" l="1"/>
  <c r="P11" i="8"/>
  <c r="P13" i="8"/>
</calcChain>
</file>

<file path=xl/sharedStrings.xml><?xml version="1.0" encoding="utf-8"?>
<sst xmlns="http://schemas.openxmlformats.org/spreadsheetml/2006/main" count="425" uniqueCount="189">
  <si>
    <t>Margen Bruto Global</t>
  </si>
  <si>
    <t>Retiros</t>
  </si>
  <si>
    <t>Crecimiento</t>
  </si>
  <si>
    <t>Ganadero</t>
  </si>
  <si>
    <t>Lechero</t>
  </si>
  <si>
    <t>Positivo</t>
  </si>
  <si>
    <t>Negativo</t>
  </si>
  <si>
    <t>Fuerte</t>
  </si>
  <si>
    <t>Liquidez</t>
  </si>
  <si>
    <t>Sin Liquidez</t>
  </si>
  <si>
    <t>Impuestos (Ganancias y BBPP)</t>
  </si>
  <si>
    <t>Amortizaciones Bienes de uso</t>
  </si>
  <si>
    <t>Indirectos / Margen Bruto</t>
  </si>
  <si>
    <t>Retiros / Intereses</t>
  </si>
  <si>
    <t>Rentabilidad del Patrimonio Neto</t>
  </si>
  <si>
    <t>Débil</t>
  </si>
  <si>
    <t>Agrícola</t>
  </si>
  <si>
    <t>Situación de la Empresa</t>
  </si>
  <si>
    <t>PASIVO TOTAL</t>
  </si>
  <si>
    <r>
      <t xml:space="preserve">Liquidez (Razón Corriente) </t>
    </r>
    <r>
      <rPr>
        <i/>
        <sz val="10"/>
        <rFont val="Calibri"/>
        <family val="2"/>
        <scheme val="minor"/>
      </rPr>
      <t>(Activo Corriente / Pasivo Corriente)</t>
    </r>
  </si>
  <si>
    <r>
      <t xml:space="preserve">Solvencia </t>
    </r>
    <r>
      <rPr>
        <i/>
        <sz val="11"/>
        <rFont val="Calibri"/>
        <family val="2"/>
        <scheme val="minor"/>
      </rPr>
      <t>(Activo Total / Pasivo Total)</t>
    </r>
  </si>
  <si>
    <t>INDICADORES DE LIQUIDEZ Y SOLVENCIA</t>
  </si>
  <si>
    <t>DISTRIBUCION DEL MARGEN BRUTO Y DEL RESULTADO</t>
  </si>
  <si>
    <t>Endeudamiento / Activo</t>
  </si>
  <si>
    <t>Endeudamiento / P. Neto</t>
  </si>
  <si>
    <r>
      <t xml:space="preserve">Calidad de Deuda </t>
    </r>
    <r>
      <rPr>
        <i/>
        <sz val="11"/>
        <color theme="1"/>
        <rFont val="Calibri"/>
        <family val="2"/>
        <scheme val="minor"/>
      </rPr>
      <t>( Pasivo Corto / Pasivo Total)</t>
    </r>
  </si>
  <si>
    <t>Años para devolver (el total del pasivo)</t>
  </si>
  <si>
    <t>Indicadores de Dupont</t>
  </si>
  <si>
    <t>INDICADORES RENTABILIDAD</t>
  </si>
  <si>
    <t>Nivel del Resultado</t>
  </si>
  <si>
    <t>Situación</t>
  </si>
  <si>
    <t>Financiera</t>
  </si>
  <si>
    <t>Respaldo</t>
  </si>
  <si>
    <t>Patrimonial</t>
  </si>
  <si>
    <t>Cobertura de deuda de corto plazo (%)</t>
  </si>
  <si>
    <t>Cobertura de deuda total (%)</t>
  </si>
  <si>
    <t>Máxima deuda potencial</t>
  </si>
  <si>
    <t>Máximo plazo del mercado financiero</t>
  </si>
  <si>
    <t>Deuda estructural</t>
  </si>
  <si>
    <t>Resultado</t>
  </si>
  <si>
    <t xml:space="preserve">     Elasticidad de los retiros</t>
  </si>
  <si>
    <t xml:space="preserve">          Ingreso Neto / Pasivo corriente</t>
  </si>
  <si>
    <t>Elasticidad de los Retiros:</t>
  </si>
  <si>
    <t>% del Imp.Ganancias sobre la Utilidad</t>
  </si>
  <si>
    <t>Maquinaria</t>
  </si>
  <si>
    <t>Inmobiliario</t>
  </si>
  <si>
    <t>Gerenciamiento</t>
  </si>
  <si>
    <t>$</t>
  </si>
  <si>
    <t>USD</t>
  </si>
  <si>
    <t>¿Cómo está la empresa?</t>
  </si>
  <si>
    <t>Diagnóstico y posibles acciones a realizar en la empresa</t>
  </si>
  <si>
    <t>Activo Corriente $</t>
  </si>
  <si>
    <t>Activo No Corriente $</t>
  </si>
  <si>
    <t>Pasivo Corriente $</t>
  </si>
  <si>
    <t>Pasivo No Corriente $</t>
  </si>
  <si>
    <t>Pasivo No Corriente U$S</t>
  </si>
  <si>
    <t>Facturación $</t>
  </si>
  <si>
    <t>Ingresos Netos $</t>
  </si>
  <si>
    <t>Ingresos Netos USD</t>
  </si>
  <si>
    <t>Gastos Directos $</t>
  </si>
  <si>
    <t>Gastos Directos USD</t>
  </si>
  <si>
    <t>Gastos Indirectos $</t>
  </si>
  <si>
    <t>Gastos Indirectos USD</t>
  </si>
  <si>
    <t>ACTIVO TOTAL</t>
  </si>
  <si>
    <r>
      <t>Tasa de Crecimiento</t>
    </r>
    <r>
      <rPr>
        <i/>
        <sz val="11"/>
        <color theme="1"/>
        <rFont val="Calibri"/>
        <family val="2"/>
        <scheme val="minor"/>
      </rPr>
      <t xml:space="preserve"> (Crecimiento / Patrimonio al inicio)</t>
    </r>
  </si>
  <si>
    <r>
      <t xml:space="preserve">Capital de Trabajo </t>
    </r>
    <r>
      <rPr>
        <i/>
        <sz val="10"/>
        <rFont val="Calibri"/>
        <family val="2"/>
        <scheme val="minor"/>
      </rPr>
      <t xml:space="preserve">(Activo Cte. - Pasivo Cte) </t>
    </r>
    <r>
      <rPr>
        <sz val="11"/>
        <rFont val="Calibri"/>
        <family val="2"/>
        <scheme val="minor"/>
      </rPr>
      <t>/ Activo Total al Inicio</t>
    </r>
  </si>
  <si>
    <r>
      <t xml:space="preserve">Respaldo </t>
    </r>
    <r>
      <rPr>
        <i/>
        <sz val="10"/>
        <rFont val="Calibri"/>
        <family val="2"/>
        <scheme val="minor"/>
      </rPr>
      <t>(Activo No Corrientes  / Activo Total) X 100</t>
    </r>
  </si>
  <si>
    <r>
      <t xml:space="preserve">Margen de Ventas </t>
    </r>
    <r>
      <rPr>
        <sz val="11"/>
        <color theme="8" tint="-0.249977111117893"/>
        <rFont val="Calibri"/>
        <family val="2"/>
        <scheme val="minor"/>
      </rPr>
      <t>(Utilidad / Ventas)</t>
    </r>
  </si>
  <si>
    <r>
      <t xml:space="preserve">Rotación </t>
    </r>
    <r>
      <rPr>
        <sz val="11"/>
        <color theme="8" tint="-0.249977111117893"/>
        <rFont val="Calibri"/>
        <family val="2"/>
        <scheme val="minor"/>
      </rPr>
      <t>(Ventas / Activo)</t>
    </r>
  </si>
  <si>
    <r>
      <t xml:space="preserve">Factor multiplicador/Apalancamiento </t>
    </r>
    <r>
      <rPr>
        <sz val="11"/>
        <color theme="8" tint="-0.249977111117893"/>
        <rFont val="Calibri"/>
        <family val="2"/>
        <scheme val="minor"/>
      </rPr>
      <t>(Activo / Patrimonio Neto)</t>
    </r>
  </si>
  <si>
    <t>Financiamiento neto</t>
  </si>
  <si>
    <t>Diferencia</t>
  </si>
  <si>
    <t>Origen</t>
  </si>
  <si>
    <t>Aplicación</t>
  </si>
  <si>
    <t>Origen Fondos $</t>
  </si>
  <si>
    <t>Origen Fondos Resultado</t>
  </si>
  <si>
    <t>Aplicación Fondos $</t>
  </si>
  <si>
    <t>Aplicación Fondos Quebranto</t>
  </si>
  <si>
    <t>Origen Fondos USD</t>
  </si>
  <si>
    <t>Aplicación Fondos USD</t>
  </si>
  <si>
    <t>MONEDA DE CARGA:</t>
  </si>
  <si>
    <t>Estado de Situación Patrimonial</t>
  </si>
  <si>
    <t>?</t>
  </si>
  <si>
    <r>
      <rPr>
        <sz val="16"/>
        <rFont val="Calibri"/>
        <family val="2"/>
        <scheme val="minor"/>
      </rPr>
      <t>Tablero</t>
    </r>
    <r>
      <rPr>
        <b/>
        <sz val="16"/>
        <rFont val="Calibri"/>
        <family val="2"/>
        <scheme val="minor"/>
      </rPr>
      <t xml:space="preserve"> </t>
    </r>
    <r>
      <rPr>
        <sz val="16"/>
        <rFont val="Calibri"/>
        <family val="2"/>
        <scheme val="minor"/>
      </rPr>
      <t>para</t>
    </r>
    <r>
      <rPr>
        <b/>
        <sz val="16"/>
        <rFont val="Calibri"/>
        <family val="2"/>
        <scheme val="minor"/>
      </rPr>
      <t xml:space="preserve"> Diagnóstico de Situación Empresarial (DiSE)</t>
    </r>
  </si>
  <si>
    <t>INDICADORES EMPRESARIALES</t>
  </si>
  <si>
    <t>¿Cómo están los negocios?</t>
  </si>
  <si>
    <t>Otros</t>
  </si>
  <si>
    <t>Margen Bruto / Ingreso Neto</t>
  </si>
  <si>
    <t>Facturación</t>
  </si>
  <si>
    <t>EJERCICIO</t>
  </si>
  <si>
    <t>Seleccionar</t>
  </si>
  <si>
    <t>Resultado Operativo (EBITDA)</t>
  </si>
  <si>
    <t>Amortizaciones Directas</t>
  </si>
  <si>
    <t>Margen de Contribución</t>
  </si>
  <si>
    <t>Beneficio antes de Intereses e Impuestos (BAII)</t>
  </si>
  <si>
    <t>Beneficios antes de Impuestos (BAI)</t>
  </si>
  <si>
    <t>Beneficio Neto</t>
  </si>
  <si>
    <t>Prueba Ácida</t>
  </si>
  <si>
    <t>Activo Corriente Disponible $</t>
  </si>
  <si>
    <t>Porcentaje</t>
  </si>
  <si>
    <t>Escala</t>
  </si>
  <si>
    <t>Rentabilidad</t>
  </si>
  <si>
    <t>Grados</t>
  </si>
  <si>
    <t>x</t>
  </si>
  <si>
    <t>y</t>
  </si>
  <si>
    <t>inicial</t>
  </si>
  <si>
    <t>final</t>
  </si>
  <si>
    <t>Gráfico Dupont</t>
  </si>
  <si>
    <t>Grafico Endeudamiento</t>
  </si>
  <si>
    <t>activo</t>
  </si>
  <si>
    <t>pasivo</t>
  </si>
  <si>
    <t>Cubre</t>
  </si>
  <si>
    <t>Resta</t>
  </si>
  <si>
    <t>Gráfico Indicadores Liquidez</t>
  </si>
  <si>
    <t>EBITDA</t>
  </si>
  <si>
    <t>BAII</t>
  </si>
  <si>
    <t>BAI</t>
  </si>
  <si>
    <t>Resultados Económicos</t>
  </si>
  <si>
    <t>VARIACIÓN INGRESO</t>
  </si>
  <si>
    <t>Resultados Patrimoniales</t>
  </si>
  <si>
    <t>gráfico distribución por actividad</t>
  </si>
  <si>
    <t>INGRESOS</t>
  </si>
  <si>
    <t>GASTOS DIRECTOS</t>
  </si>
  <si>
    <t>MARGEN BRUTO</t>
  </si>
  <si>
    <t>Rentabilidad Marginal</t>
  </si>
  <si>
    <t>Gráfico distribución Ingresos NETOS</t>
  </si>
  <si>
    <t>Resultado Operativo (EBITDA) / Margen Bruto</t>
  </si>
  <si>
    <t>BAII / Margen Bruto</t>
  </si>
  <si>
    <t>Margen Contribución</t>
  </si>
  <si>
    <r>
      <rPr>
        <b/>
        <sz val="11"/>
        <rFont val="Calibri"/>
        <family val="2"/>
        <scheme val="minor"/>
      </rPr>
      <t>Presión de los Accionistas</t>
    </r>
    <r>
      <rPr>
        <sz val="11"/>
        <rFont val="Calibri"/>
        <family val="2"/>
        <scheme val="minor"/>
      </rPr>
      <t xml:space="preserve"> </t>
    </r>
    <r>
      <rPr>
        <i/>
        <sz val="11"/>
        <rFont val="Calibri"/>
        <family val="2"/>
        <scheme val="minor"/>
      </rPr>
      <t>(Retiros / Resultado por Producción)</t>
    </r>
  </si>
  <si>
    <t>Amortizaciones / Resultado Operativo (EBITDA)</t>
  </si>
  <si>
    <t>Beneficio Neto / BAII</t>
  </si>
  <si>
    <t>Intereses / BAII</t>
  </si>
  <si>
    <r>
      <rPr>
        <b/>
        <sz val="11"/>
        <rFont val="Calibri"/>
        <family val="2"/>
        <scheme val="minor"/>
      </rPr>
      <t>Presión Fiscal</t>
    </r>
    <r>
      <rPr>
        <i/>
        <sz val="11"/>
        <rFont val="Calibri"/>
        <family val="2"/>
        <scheme val="minor"/>
      </rPr>
      <t xml:space="preserve"> (I</t>
    </r>
    <r>
      <rPr>
        <sz val="11"/>
        <rFont val="Calibri"/>
        <family val="2"/>
        <scheme val="minor"/>
      </rPr>
      <t>GG</t>
    </r>
    <r>
      <rPr>
        <i/>
        <sz val="11"/>
        <rFont val="Calibri"/>
        <family val="2"/>
        <scheme val="minor"/>
      </rPr>
      <t xml:space="preserve"> y BBPP / BAII)</t>
    </r>
  </si>
  <si>
    <t>Consultar</t>
  </si>
  <si>
    <t>Estrategias</t>
  </si>
  <si>
    <t>A</t>
  </si>
  <si>
    <t>B</t>
  </si>
  <si>
    <t>C</t>
  </si>
  <si>
    <t>D</t>
  </si>
  <si>
    <t>E</t>
  </si>
  <si>
    <t>F</t>
  </si>
  <si>
    <t>G</t>
  </si>
  <si>
    <t>H</t>
  </si>
  <si>
    <t>Cierre (opcional)</t>
  </si>
  <si>
    <t>Inicio (obligatorio)</t>
  </si>
  <si>
    <t xml:space="preserve">P. NETO TOTAL </t>
  </si>
  <si>
    <t>Datos a mirar en caso de cargar el Patrimonial al cierre (opcional)</t>
  </si>
  <si>
    <t>Indicador</t>
  </si>
  <si>
    <t xml:space="preserve"> Opcional: No condiciona el resto de los resultados</t>
  </si>
  <si>
    <t>Aporte al Margen Bruto Global (%)</t>
  </si>
  <si>
    <t>Activo No Corrient $</t>
  </si>
  <si>
    <t>Activo No Corrient USD</t>
  </si>
  <si>
    <t>Pasivo Corriente USD</t>
  </si>
  <si>
    <t>Pasivo No Corriente USD</t>
  </si>
  <si>
    <t>Variación (Opcional)</t>
  </si>
  <si>
    <r>
      <t>Activo Corriente U$S</t>
    </r>
    <r>
      <rPr>
        <sz val="11"/>
        <color rgb="FFFF0000"/>
        <rFont val="Calibri"/>
        <family val="2"/>
        <scheme val="minor"/>
      </rPr>
      <t xml:space="preserve"> </t>
    </r>
    <r>
      <rPr>
        <sz val="11"/>
        <rFont val="Calibri"/>
        <family val="2"/>
        <scheme val="minor"/>
      </rPr>
      <t>oficial</t>
    </r>
  </si>
  <si>
    <r>
      <t>Activo Corriente Disponible U$S</t>
    </r>
    <r>
      <rPr>
        <sz val="11"/>
        <color rgb="FFFF0000"/>
        <rFont val="Calibri"/>
        <family val="2"/>
        <scheme val="minor"/>
      </rPr>
      <t xml:space="preserve"> </t>
    </r>
    <r>
      <rPr>
        <sz val="11"/>
        <rFont val="Calibri"/>
        <family val="2"/>
        <scheme val="minor"/>
      </rPr>
      <t>oficial</t>
    </r>
  </si>
  <si>
    <r>
      <t xml:space="preserve">Activo No Corriente U$S </t>
    </r>
    <r>
      <rPr>
        <sz val="11"/>
        <rFont val="Calibri"/>
        <family val="2"/>
        <scheme val="minor"/>
      </rPr>
      <t>ofical</t>
    </r>
  </si>
  <si>
    <r>
      <t>Pasivo Corriente U$S</t>
    </r>
    <r>
      <rPr>
        <sz val="11"/>
        <color rgb="FFFF0000"/>
        <rFont val="Calibri"/>
        <family val="2"/>
        <scheme val="minor"/>
      </rPr>
      <t xml:space="preserve"> </t>
    </r>
    <r>
      <rPr>
        <sz val="11"/>
        <rFont val="Calibri"/>
        <family val="2"/>
        <scheme val="minor"/>
      </rPr>
      <t>ofical</t>
    </r>
  </si>
  <si>
    <r>
      <t xml:space="preserve">Facturación USD </t>
    </r>
    <r>
      <rPr>
        <sz val="11"/>
        <rFont val="Calibri"/>
        <family val="2"/>
        <scheme val="minor"/>
      </rPr>
      <t>oficial</t>
    </r>
  </si>
  <si>
    <r>
      <t>Resultados Económicos</t>
    </r>
    <r>
      <rPr>
        <b/>
        <sz val="12"/>
        <rFont val="Calibri"/>
        <family val="2"/>
        <scheme val="minor"/>
      </rPr>
      <t xml:space="preserve"> </t>
    </r>
    <r>
      <rPr>
        <sz val="11"/>
        <rFont val="Calibri"/>
        <family val="2"/>
        <scheme val="minor"/>
      </rPr>
      <t>(Datos del ejercicio)</t>
    </r>
  </si>
  <si>
    <t>Rentabilidad del Activo</t>
  </si>
  <si>
    <t>Cuadro para rentabilidad del activo</t>
  </si>
  <si>
    <t>AC</t>
  </si>
  <si>
    <t>ANC</t>
  </si>
  <si>
    <t>Max</t>
  </si>
  <si>
    <t>Min</t>
  </si>
  <si>
    <t>Promedio</t>
  </si>
  <si>
    <t>Empresa cargada</t>
  </si>
  <si>
    <t>Máx</t>
  </si>
  <si>
    <t>Prom</t>
  </si>
  <si>
    <t>Margen de Ventas (Utilidad / Ventas)</t>
  </si>
  <si>
    <t>Rotación (Ventas / Activo)</t>
  </si>
  <si>
    <t>Factor multiplicador/Apalancamiento (Activo / Patrimonio Neto)</t>
  </si>
  <si>
    <r>
      <t xml:space="preserve">Costo del crédito </t>
    </r>
    <r>
      <rPr>
        <sz val="10"/>
        <color theme="1"/>
        <rFont val="Calibri"/>
        <family val="2"/>
        <scheme val="minor"/>
      </rPr>
      <t>(intereseses a pagar + gastos vinculados al crédito)</t>
    </r>
    <r>
      <rPr>
        <sz val="11"/>
        <color theme="1"/>
        <rFont val="Calibri"/>
        <family val="2"/>
        <scheme val="minor"/>
      </rPr>
      <t xml:space="preserve"> / Pasivo total</t>
    </r>
  </si>
  <si>
    <t>INDICADORES DE ENDEUDAMIENTO</t>
  </si>
  <si>
    <t>INDICADORES AL CIERRE</t>
  </si>
  <si>
    <t>Grágicos al cierre</t>
  </si>
  <si>
    <t>Variar Ingresos</t>
  </si>
  <si>
    <r>
      <t xml:space="preserve">Capital de Trabajo </t>
    </r>
    <r>
      <rPr>
        <i/>
        <sz val="10"/>
        <color theme="0"/>
        <rFont val="Calibri"/>
        <family val="2"/>
        <scheme val="minor"/>
      </rPr>
      <t xml:space="preserve">(Activo Cte. - Pasivo Cte) </t>
    </r>
    <r>
      <rPr>
        <sz val="11"/>
        <color theme="0"/>
        <rFont val="Calibri"/>
        <family val="2"/>
        <scheme val="minor"/>
      </rPr>
      <t>/ Activo Total al Inicio</t>
    </r>
  </si>
  <si>
    <r>
      <t xml:space="preserve">Liquidez (Razón Corriente) </t>
    </r>
    <r>
      <rPr>
        <i/>
        <sz val="10"/>
        <color theme="0"/>
        <rFont val="Calibri"/>
        <family val="2"/>
        <scheme val="minor"/>
      </rPr>
      <t>(Activo Corriente / Pasivo Corriente)</t>
    </r>
  </si>
  <si>
    <r>
      <t xml:space="preserve">Solvencia </t>
    </r>
    <r>
      <rPr>
        <i/>
        <sz val="11"/>
        <color theme="0"/>
        <rFont val="Calibri"/>
        <family val="2"/>
        <scheme val="minor"/>
      </rPr>
      <t>(Activo Total / Pasivo Total)</t>
    </r>
  </si>
  <si>
    <r>
      <t xml:space="preserve">Respaldo </t>
    </r>
    <r>
      <rPr>
        <i/>
        <sz val="10"/>
        <color theme="0"/>
        <rFont val="Calibri"/>
        <family val="2"/>
        <scheme val="minor"/>
      </rPr>
      <t>(Activo No Corrientes  / Activo Total) X 100</t>
    </r>
  </si>
  <si>
    <r>
      <t>Tasa de Crecimiento</t>
    </r>
    <r>
      <rPr>
        <i/>
        <sz val="11"/>
        <color theme="0"/>
        <rFont val="Calibri"/>
        <family val="2"/>
        <scheme val="minor"/>
      </rPr>
      <t xml:space="preserve"> (Crecimiento / Patrimonio al inicio)</t>
    </r>
  </si>
  <si>
    <r>
      <t xml:space="preserve">Calidad de Deuda </t>
    </r>
    <r>
      <rPr>
        <i/>
        <sz val="11"/>
        <color theme="0"/>
        <rFont val="Calibri"/>
        <family val="2"/>
        <scheme val="minor"/>
      </rPr>
      <t>( Pasivo Corto / Pasivo Total)</t>
    </r>
  </si>
  <si>
    <r>
      <t xml:space="preserve">Costo del crédito </t>
    </r>
    <r>
      <rPr>
        <sz val="10"/>
        <color theme="0"/>
        <rFont val="Calibri"/>
        <family val="2"/>
        <scheme val="minor"/>
      </rPr>
      <t>(intereseses a pagar + gastos vinculados al crédito)</t>
    </r>
    <r>
      <rPr>
        <sz val="11"/>
        <color theme="0"/>
        <rFont val="Calibri"/>
        <family val="2"/>
        <scheme val="minor"/>
      </rPr>
      <t xml:space="preserve"> / Pasivo total</t>
    </r>
  </si>
  <si>
    <r>
      <rPr>
        <b/>
        <sz val="11"/>
        <color theme="0"/>
        <rFont val="Calibri"/>
        <family val="2"/>
        <scheme val="minor"/>
      </rPr>
      <t>Presión Fiscal</t>
    </r>
    <r>
      <rPr>
        <i/>
        <sz val="11"/>
        <color theme="0"/>
        <rFont val="Calibri"/>
        <family val="2"/>
        <scheme val="minor"/>
      </rPr>
      <t xml:space="preserve"> (I</t>
    </r>
    <r>
      <rPr>
        <sz val="11"/>
        <color theme="0"/>
        <rFont val="Calibri"/>
        <family val="2"/>
        <scheme val="minor"/>
      </rPr>
      <t>GG</t>
    </r>
    <r>
      <rPr>
        <i/>
        <sz val="11"/>
        <color theme="0"/>
        <rFont val="Calibri"/>
        <family val="2"/>
        <scheme val="minor"/>
      </rPr>
      <t xml:space="preserve"> y BBPP / BAII)</t>
    </r>
  </si>
  <si>
    <r>
      <rPr>
        <b/>
        <sz val="11"/>
        <color theme="0"/>
        <rFont val="Calibri"/>
        <family val="2"/>
        <scheme val="minor"/>
      </rPr>
      <t>Presión de los Accionistas</t>
    </r>
    <r>
      <rPr>
        <sz val="11"/>
        <color theme="0"/>
        <rFont val="Calibri"/>
        <family val="2"/>
        <scheme val="minor"/>
      </rPr>
      <t xml:space="preserve"> </t>
    </r>
    <r>
      <rPr>
        <i/>
        <sz val="11"/>
        <color theme="0"/>
        <rFont val="Calibri"/>
        <family val="2"/>
        <scheme val="minor"/>
      </rPr>
      <t>(Retiros / Resultado por Producción)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</si>
</sst>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quot;$&quot;\ #,##0;[Red]&quot;$&quot;\ \-#,##0"/>
    <numFmt numFmtId="165" formatCode="_ * #,##0.00_ ;_ * \-#,##0.00_ ;_ * &quot;-&quot;??_ ;_ @_ "/>
    <numFmt numFmtId="166" formatCode="0.0%"/>
    <numFmt numFmtId="167" formatCode="#,##0_ ;[Red]\-#,##0\ "/>
    <numFmt numFmtId="168" formatCode="&quot;$&quot;\ #,##0"/>
    <numFmt numFmtId="169" formatCode="0.0%;[Red]\-0.0%"/>
    <numFmt numFmtId="170" formatCode="#,##0.0\ [$años]"/>
    <numFmt numFmtId="171" formatCode="#,##0.0"/>
    <numFmt numFmtId="172" formatCode="_ * #,##0_ ;_ * \-#,##0_ ;_ * &quot;-&quot;??_ ;_ @_ "/>
  </numFmts>
  <fonts count="5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sz val="9"/>
      <color theme="0" tint="-0.499984740745262"/>
      <name val="Calibri"/>
      <family val="2"/>
      <scheme val="minor"/>
    </font>
    <font>
      <b/>
      <sz val="12"/>
      <color theme="1"/>
      <name val="Calibri"/>
      <family val="2"/>
      <scheme val="minor"/>
    </font>
    <font>
      <b/>
      <sz val="14"/>
      <color theme="0"/>
      <name val="Calibri"/>
      <family val="2"/>
      <scheme val="minor"/>
    </font>
    <font>
      <b/>
      <sz val="11"/>
      <color theme="0"/>
      <name val="Calibri"/>
      <family val="2"/>
      <scheme val="minor"/>
    </font>
    <font>
      <sz val="11"/>
      <color rgb="FFFF0000"/>
      <name val="Calibri"/>
      <family val="2"/>
      <scheme val="minor"/>
    </font>
    <font>
      <sz val="11"/>
      <name val="Calibri"/>
      <family val="2"/>
      <scheme val="minor"/>
    </font>
    <font>
      <sz val="11"/>
      <color theme="0" tint="-0.34998626667073579"/>
      <name val="Calibri"/>
      <family val="2"/>
      <scheme val="minor"/>
    </font>
    <font>
      <i/>
      <sz val="11"/>
      <color theme="1"/>
      <name val="Calibri"/>
      <family val="2"/>
      <scheme val="minor"/>
    </font>
    <font>
      <b/>
      <sz val="10"/>
      <color theme="1"/>
      <name val="Calibri"/>
      <family val="2"/>
      <scheme val="minor"/>
    </font>
    <font>
      <sz val="10"/>
      <color theme="1"/>
      <name val="Calibri"/>
      <family val="2"/>
      <scheme val="minor"/>
    </font>
    <font>
      <b/>
      <sz val="11"/>
      <name val="Calibri"/>
      <family val="2"/>
      <scheme val="minor"/>
    </font>
    <font>
      <i/>
      <sz val="11"/>
      <name val="Calibri"/>
      <family val="2"/>
      <scheme val="minor"/>
    </font>
    <font>
      <i/>
      <sz val="10"/>
      <name val="Calibri"/>
      <family val="2"/>
      <scheme val="minor"/>
    </font>
    <font>
      <b/>
      <sz val="9"/>
      <color theme="1"/>
      <name val="Calibri"/>
      <family val="2"/>
      <scheme val="minor"/>
    </font>
    <font>
      <sz val="10"/>
      <color rgb="FFFF0000"/>
      <name val="Calibri"/>
      <family val="2"/>
      <scheme val="minor"/>
    </font>
    <font>
      <b/>
      <sz val="9.5"/>
      <color theme="1"/>
      <name val="Calibri"/>
      <family val="2"/>
      <scheme val="minor"/>
    </font>
    <font>
      <b/>
      <sz val="12"/>
      <color theme="0"/>
      <name val="Calibri"/>
      <family val="2"/>
      <scheme val="minor"/>
    </font>
    <font>
      <sz val="11"/>
      <color rgb="FF000000"/>
      <name val="Calibri"/>
      <family val="2"/>
    </font>
    <font>
      <sz val="11"/>
      <color theme="1"/>
      <name val="Calibri"/>
      <family val="2"/>
    </font>
    <font>
      <b/>
      <sz val="14"/>
      <color rgb="FF000000"/>
      <name val="Calibri"/>
      <family val="2"/>
    </font>
    <font>
      <u/>
      <sz val="11"/>
      <color theme="10"/>
      <name val="Calibri"/>
      <family val="2"/>
      <scheme val="minor"/>
    </font>
    <font>
      <u/>
      <sz val="11"/>
      <color theme="11"/>
      <name val="Calibri"/>
      <family val="2"/>
      <scheme val="minor"/>
    </font>
    <font>
      <sz val="11"/>
      <color theme="8" tint="-0.249977111117893"/>
      <name val="Calibri"/>
      <family val="2"/>
      <scheme val="minor"/>
    </font>
    <font>
      <u/>
      <sz val="11"/>
      <color theme="1"/>
      <name val="Calibri"/>
      <family val="2"/>
      <scheme val="minor"/>
    </font>
    <font>
      <sz val="8"/>
      <color theme="1"/>
      <name val="Calibri"/>
      <family val="2"/>
      <scheme val="minor"/>
    </font>
    <font>
      <b/>
      <sz val="8"/>
      <color theme="1"/>
      <name val="Calibri"/>
      <family val="2"/>
      <scheme val="minor"/>
    </font>
    <font>
      <b/>
      <sz val="18"/>
      <color theme="1"/>
      <name val="Calibri"/>
      <family val="2"/>
      <scheme val="minor"/>
    </font>
    <font>
      <sz val="16"/>
      <name val="Calibri"/>
      <family val="2"/>
      <scheme val="minor"/>
    </font>
    <font>
      <b/>
      <sz val="16"/>
      <name val="Calibri"/>
      <family val="2"/>
      <scheme val="minor"/>
    </font>
    <font>
      <b/>
      <sz val="18"/>
      <color theme="0"/>
      <name val="Calibri"/>
      <family val="2"/>
      <scheme val="minor"/>
    </font>
    <font>
      <i/>
      <sz val="11"/>
      <color rgb="FF7F7F7F"/>
      <name val="Calibri"/>
      <family val="2"/>
      <scheme val="minor"/>
    </font>
    <font>
      <b/>
      <sz val="8"/>
      <name val="Calibri"/>
      <family val="2"/>
      <scheme val="minor"/>
    </font>
    <font>
      <b/>
      <sz val="8"/>
      <color rgb="FF000000"/>
      <name val="Calibri"/>
      <family val="2"/>
    </font>
    <font>
      <b/>
      <sz val="12"/>
      <name val="Calibri"/>
      <family val="2"/>
      <scheme val="minor"/>
    </font>
    <font>
      <sz val="12"/>
      <color theme="1"/>
      <name val="Calibri"/>
      <family val="2"/>
      <scheme val="minor"/>
    </font>
    <font>
      <b/>
      <i/>
      <sz val="12"/>
      <color theme="1"/>
      <name val="Calibri"/>
      <family val="2"/>
      <scheme val="minor"/>
    </font>
    <font>
      <i/>
      <sz val="12"/>
      <color rgb="FF7F7F7F"/>
      <name val="Calibri"/>
      <family val="2"/>
      <scheme val="minor"/>
    </font>
    <font>
      <i/>
      <u/>
      <sz val="12"/>
      <color rgb="FF7F7F7F"/>
      <name val="Calibri"/>
      <family val="2"/>
      <scheme val="minor"/>
    </font>
    <font>
      <b/>
      <i/>
      <u/>
      <sz val="12"/>
      <color theme="6" tint="-0.249977111117893"/>
      <name val="Calibri"/>
      <family val="2"/>
      <scheme val="minor"/>
    </font>
    <font>
      <b/>
      <i/>
      <sz val="10"/>
      <color theme="0" tint="-0.499984740745262"/>
      <name val="Calibri"/>
      <family val="2"/>
      <scheme val="minor"/>
    </font>
    <font>
      <b/>
      <i/>
      <sz val="11"/>
      <color rgb="FF7F7F7F"/>
      <name val="Calibri"/>
      <family val="2"/>
      <scheme val="minor"/>
    </font>
    <font>
      <b/>
      <sz val="10"/>
      <color rgb="FF000000"/>
      <name val="Calibri"/>
      <family val="2"/>
    </font>
    <font>
      <b/>
      <i/>
      <sz val="11"/>
      <color theme="9" tint="-0.249977111117893"/>
      <name val="Calibri"/>
      <family val="2"/>
      <scheme val="minor"/>
    </font>
    <font>
      <u/>
      <sz val="11"/>
      <name val="Calibri"/>
      <family val="2"/>
      <scheme val="minor"/>
    </font>
    <font>
      <b/>
      <sz val="12"/>
      <color theme="0" tint="-0.499984740745262"/>
      <name val="Calibri"/>
      <family val="2"/>
      <scheme val="minor"/>
    </font>
    <font>
      <i/>
      <sz val="10"/>
      <color theme="0"/>
      <name val="Calibri"/>
      <family val="2"/>
      <scheme val="minor"/>
    </font>
    <font>
      <i/>
      <sz val="11"/>
      <color theme="0"/>
      <name val="Calibri"/>
      <family val="2"/>
      <scheme val="minor"/>
    </font>
    <font>
      <u/>
      <sz val="11"/>
      <color theme="0"/>
      <name val="Calibri"/>
      <family val="2"/>
      <scheme val="minor"/>
    </font>
    <font>
      <sz val="9"/>
      <color theme="0"/>
      <name val="Calibri"/>
      <family val="2"/>
      <scheme val="minor"/>
    </font>
    <font>
      <sz val="10"/>
      <color theme="0"/>
      <name val="Calibri"/>
      <family val="2"/>
      <scheme val="minor"/>
    </font>
  </fonts>
  <fills count="15">
    <fill>
      <patternFill patternType="none"/>
    </fill>
    <fill>
      <patternFill patternType="gray125"/>
    </fill>
    <fill>
      <patternFill patternType="solid">
        <fgColor rgb="FF009900"/>
        <bgColor indexed="64"/>
      </patternFill>
    </fill>
    <fill>
      <patternFill patternType="solid">
        <fgColor rgb="FFFF0000"/>
        <bgColor indexed="64"/>
      </patternFill>
    </fill>
    <fill>
      <patternFill patternType="solid">
        <fgColor theme="0"/>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0"/>
        <bgColor rgb="FF000000"/>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2"/>
        <bgColor indexed="64"/>
      </patternFill>
    </fill>
    <fill>
      <patternFill patternType="solid">
        <fgColor theme="4" tint="0.59999389629810485"/>
        <bgColor indexed="64"/>
      </patternFill>
    </fill>
  </fills>
  <borders count="31">
    <border>
      <left/>
      <right/>
      <top/>
      <bottom/>
      <diagonal/>
    </border>
    <border>
      <left/>
      <right/>
      <top/>
      <bottom style="thin">
        <color auto="1"/>
      </bottom>
      <diagonal/>
    </border>
    <border>
      <left/>
      <right/>
      <top style="thin">
        <color auto="1"/>
      </top>
      <bottom/>
      <diagonal/>
    </border>
    <border>
      <left style="medium">
        <color auto="1"/>
      </left>
      <right/>
      <top/>
      <bottom/>
      <diagonal/>
    </border>
    <border>
      <left/>
      <right style="medium">
        <color auto="1"/>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n">
        <color auto="1"/>
      </top>
      <bottom style="thin">
        <color auto="1"/>
      </bottom>
      <diagonal/>
    </border>
    <border>
      <left/>
      <right/>
      <top style="thin">
        <color indexed="64"/>
      </top>
      <bottom style="medium">
        <color indexed="64"/>
      </bottom>
      <diagonal/>
    </border>
    <border>
      <left/>
      <right/>
      <top/>
      <bottom style="medium">
        <color indexed="64"/>
      </bottom>
      <diagonal/>
    </border>
    <border>
      <left/>
      <right/>
      <top/>
      <bottom style="thick">
        <color rgb="FF00B05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s>
  <cellStyleXfs count="31">
    <xf numFmtId="0" fontId="0" fillId="0" borderId="0"/>
    <xf numFmtId="9" fontId="1" fillId="0" borderId="0" applyFont="0" applyFill="0" applyBorder="0" applyAlignment="0" applyProtection="0"/>
    <xf numFmtId="165" fontId="1" fillId="0" borderId="0" applyFon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35" fillId="0" borderId="0" applyNumberFormat="0" applyFill="0" applyBorder="0" applyAlignment="0" applyProtection="0"/>
    <xf numFmtId="0" fontId="25" fillId="0" borderId="0" applyNumberFormat="0" applyFill="0" applyBorder="0" applyAlignment="0" applyProtection="0"/>
  </cellStyleXfs>
  <cellXfs count="311">
    <xf numFmtId="0" fontId="0" fillId="0" borderId="0" xfId="0"/>
    <xf numFmtId="3" fontId="0" fillId="0" borderId="0" xfId="0" applyNumberFormat="1"/>
    <xf numFmtId="9" fontId="0" fillId="0" borderId="0" xfId="1" applyFont="1" applyAlignment="1">
      <alignment horizontal="center"/>
    </xf>
    <xf numFmtId="0" fontId="0" fillId="0" borderId="0" xfId="0" applyAlignment="1">
      <alignment horizontal="right"/>
    </xf>
    <xf numFmtId="0" fontId="0" fillId="0" borderId="0" xfId="0" applyAlignment="1">
      <alignment horizontal="center"/>
    </xf>
    <xf numFmtId="0" fontId="5" fillId="0" borderId="0" xfId="0" applyFont="1" applyAlignment="1">
      <alignment horizontal="right"/>
    </xf>
    <xf numFmtId="0" fontId="0" fillId="0" borderId="0" xfId="0" applyBorder="1"/>
    <xf numFmtId="0" fontId="9" fillId="0" borderId="0" xfId="0" applyFont="1"/>
    <xf numFmtId="0" fontId="3" fillId="0" borderId="0" xfId="0" applyFont="1"/>
    <xf numFmtId="168" fontId="0" fillId="0" borderId="10" xfId="0" applyNumberFormat="1" applyBorder="1" applyAlignment="1">
      <alignment horizontal="center"/>
    </xf>
    <xf numFmtId="168" fontId="0" fillId="0" borderId="11" xfId="0" applyNumberFormat="1" applyBorder="1" applyAlignment="1">
      <alignment horizontal="center"/>
    </xf>
    <xf numFmtId="168" fontId="0" fillId="0" borderId="12" xfId="0" applyNumberFormat="1" applyBorder="1" applyAlignment="1">
      <alignment horizontal="center"/>
    </xf>
    <xf numFmtId="0" fontId="13" fillId="0" borderId="2"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3" xfId="0" applyFont="1" applyBorder="1" applyAlignment="1">
      <alignment horizontal="center" vertical="center" wrapText="1"/>
    </xf>
    <xf numFmtId="0" fontId="0" fillId="0" borderId="0" xfId="0"/>
    <xf numFmtId="3" fontId="0" fillId="0" borderId="0" xfId="0" applyNumberFormat="1"/>
    <xf numFmtId="0" fontId="0" fillId="0" borderId="0" xfId="0" applyFill="1" applyBorder="1"/>
    <xf numFmtId="0" fontId="5" fillId="4" borderId="0" xfId="0" applyFont="1" applyFill="1" applyBorder="1" applyAlignment="1">
      <alignment horizontal="right"/>
    </xf>
    <xf numFmtId="0" fontId="0" fillId="4" borderId="0" xfId="0" applyFill="1"/>
    <xf numFmtId="0" fontId="0" fillId="4" borderId="0" xfId="0" applyFill="1" applyAlignment="1">
      <alignment horizontal="right"/>
    </xf>
    <xf numFmtId="9" fontId="0" fillId="4" borderId="0" xfId="1" applyFont="1" applyFill="1" applyAlignment="1">
      <alignment horizontal="center"/>
    </xf>
    <xf numFmtId="3" fontId="0" fillId="4" borderId="0" xfId="0" applyNumberFormat="1" applyFill="1"/>
    <xf numFmtId="0" fontId="0" fillId="0" borderId="0" xfId="0" applyFill="1"/>
    <xf numFmtId="0" fontId="29" fillId="0" borderId="0" xfId="0" applyFont="1" applyAlignment="1">
      <alignment horizontal="center"/>
    </xf>
    <xf numFmtId="0" fontId="0" fillId="4" borderId="0" xfId="0" applyFill="1" applyBorder="1"/>
    <xf numFmtId="0" fontId="9" fillId="4" borderId="0" xfId="0" applyFont="1" applyFill="1"/>
    <xf numFmtId="0" fontId="5" fillId="4" borderId="0" xfId="0" applyFont="1" applyFill="1" applyAlignment="1">
      <alignment horizontal="right"/>
    </xf>
    <xf numFmtId="0" fontId="0" fillId="4" borderId="0" xfId="0" applyFill="1" applyAlignment="1">
      <alignment horizontal="left"/>
    </xf>
    <xf numFmtId="0" fontId="3" fillId="4" borderId="0" xfId="0" applyFont="1" applyFill="1"/>
    <xf numFmtId="167" fontId="0" fillId="4" borderId="0" xfId="0" applyNumberFormat="1" applyFill="1" applyBorder="1"/>
    <xf numFmtId="172" fontId="0" fillId="4" borderId="0" xfId="2" applyNumberFormat="1" applyFont="1" applyFill="1" applyBorder="1"/>
    <xf numFmtId="167" fontId="0" fillId="4" borderId="0" xfId="0" applyNumberFormat="1" applyFont="1" applyFill="1" applyBorder="1" applyAlignment="1">
      <alignment horizontal="right"/>
    </xf>
    <xf numFmtId="9" fontId="0" fillId="4" borderId="0" xfId="1" applyFont="1" applyFill="1" applyBorder="1" applyAlignment="1">
      <alignment horizontal="center" vertical="center"/>
    </xf>
    <xf numFmtId="0" fontId="0" fillId="0" borderId="0" xfId="0" applyFont="1" applyFill="1" applyBorder="1" applyAlignment="1">
      <alignment vertical="top" wrapText="1"/>
    </xf>
    <xf numFmtId="0" fontId="29" fillId="5" borderId="0" xfId="0" applyFont="1" applyFill="1" applyBorder="1" applyAlignment="1">
      <alignment horizontal="center"/>
    </xf>
    <xf numFmtId="0" fontId="29" fillId="7" borderId="0" xfId="0" applyFont="1" applyFill="1" applyBorder="1" applyAlignment="1">
      <alignment horizontal="center"/>
    </xf>
    <xf numFmtId="0" fontId="30" fillId="4" borderId="0" xfId="0" applyFont="1" applyFill="1" applyBorder="1" applyAlignment="1"/>
    <xf numFmtId="0" fontId="29" fillId="4" borderId="0" xfId="0" applyFont="1" applyFill="1" applyAlignment="1">
      <alignment horizontal="center"/>
    </xf>
    <xf numFmtId="0" fontId="32" fillId="4" borderId="0" xfId="0" applyFont="1" applyFill="1"/>
    <xf numFmtId="0" fontId="31" fillId="0" borderId="0" xfId="0" applyFont="1"/>
    <xf numFmtId="0" fontId="0" fillId="0" borderId="14" xfId="0" applyBorder="1"/>
    <xf numFmtId="0" fontId="29" fillId="0" borderId="14" xfId="0" applyFont="1" applyBorder="1" applyAlignment="1">
      <alignment horizontal="center"/>
    </xf>
    <xf numFmtId="0" fontId="6" fillId="0" borderId="14" xfId="0" applyFont="1" applyBorder="1"/>
    <xf numFmtId="0" fontId="2" fillId="0" borderId="14" xfId="0" applyFont="1" applyBorder="1"/>
    <xf numFmtId="0" fontId="0" fillId="4" borderId="0" xfId="0" applyFont="1" applyFill="1" applyBorder="1"/>
    <xf numFmtId="166" fontId="1" fillId="4" borderId="0" xfId="1" applyNumberFormat="1" applyFont="1" applyFill="1" applyBorder="1" applyAlignment="1">
      <alignment horizontal="center"/>
    </xf>
    <xf numFmtId="0" fontId="0" fillId="4" borderId="0" xfId="0" applyFont="1" applyFill="1" applyBorder="1" applyAlignment="1">
      <alignment horizontal="left"/>
    </xf>
    <xf numFmtId="0" fontId="28" fillId="4" borderId="0" xfId="0" applyFont="1" applyFill="1" applyBorder="1" applyAlignment="1">
      <alignment horizontal="left"/>
    </xf>
    <xf numFmtId="9" fontId="1" fillId="4" borderId="0" xfId="1" applyFont="1" applyFill="1" applyBorder="1" applyAlignment="1">
      <alignment horizontal="center"/>
    </xf>
    <xf numFmtId="4" fontId="1" fillId="4" borderId="0" xfId="1" applyNumberFormat="1" applyFont="1" applyFill="1" applyBorder="1" applyAlignment="1">
      <alignment horizontal="center"/>
    </xf>
    <xf numFmtId="0" fontId="10" fillId="4" borderId="0" xfId="0" applyFont="1" applyFill="1" applyBorder="1"/>
    <xf numFmtId="0" fontId="10" fillId="4" borderId="15" xfId="0" applyFont="1" applyFill="1" applyBorder="1"/>
    <xf numFmtId="0" fontId="0" fillId="4" borderId="14" xfId="0" applyFont="1" applyFill="1" applyBorder="1"/>
    <xf numFmtId="166" fontId="1" fillId="4" borderId="14" xfId="1" applyNumberFormat="1" applyFont="1" applyFill="1" applyBorder="1" applyAlignment="1">
      <alignment horizontal="center"/>
    </xf>
    <xf numFmtId="9" fontId="0" fillId="4" borderId="0" xfId="1" applyFont="1" applyFill="1" applyBorder="1" applyAlignment="1">
      <alignment horizontal="center"/>
    </xf>
    <xf numFmtId="0" fontId="15" fillId="4" borderId="0" xfId="0" applyFont="1" applyFill="1" applyBorder="1"/>
    <xf numFmtId="2" fontId="0" fillId="4" borderId="0" xfId="0" applyNumberFormat="1" applyFill="1" applyBorder="1" applyAlignment="1">
      <alignment horizontal="center"/>
    </xf>
    <xf numFmtId="0" fontId="0" fillId="4" borderId="13" xfId="0" applyFill="1" applyBorder="1"/>
    <xf numFmtId="0" fontId="15" fillId="4" borderId="14" xfId="0" applyFont="1" applyFill="1" applyBorder="1"/>
    <xf numFmtId="0" fontId="31" fillId="4" borderId="0" xfId="0" applyFont="1" applyFill="1"/>
    <xf numFmtId="0" fontId="34" fillId="4" borderId="0" xfId="0" applyFont="1" applyFill="1" applyAlignment="1">
      <alignment horizontal="left"/>
    </xf>
    <xf numFmtId="0" fontId="31" fillId="4" borderId="0" xfId="0" applyFont="1" applyFill="1" applyAlignment="1">
      <alignment horizontal="right"/>
    </xf>
    <xf numFmtId="0" fontId="2" fillId="4" borderId="0" xfId="0" applyFont="1" applyFill="1" applyBorder="1"/>
    <xf numFmtId="3" fontId="8" fillId="4" borderId="0" xfId="0" quotePrefix="1" applyNumberFormat="1" applyFont="1" applyFill="1" applyBorder="1" applyAlignment="1">
      <alignment horizontal="center"/>
    </xf>
    <xf numFmtId="0" fontId="30" fillId="8" borderId="13" xfId="0" applyFont="1" applyFill="1" applyBorder="1" applyAlignment="1"/>
    <xf numFmtId="172" fontId="2" fillId="8" borderId="13" xfId="2" applyNumberFormat="1" applyFont="1" applyFill="1" applyBorder="1" applyAlignment="1">
      <alignment horizontal="center" vertical="center"/>
    </xf>
    <xf numFmtId="0" fontId="30" fillId="8" borderId="14" xfId="0" applyFont="1" applyFill="1" applyBorder="1" applyAlignment="1"/>
    <xf numFmtId="0" fontId="0" fillId="8" borderId="0" xfId="0" applyFont="1" applyFill="1" applyBorder="1" applyAlignment="1">
      <alignment vertical="top" wrapText="1"/>
    </xf>
    <xf numFmtId="0" fontId="0" fillId="8" borderId="1" xfId="0" applyFont="1" applyFill="1" applyBorder="1" applyAlignment="1">
      <alignment vertical="top" wrapText="1"/>
    </xf>
    <xf numFmtId="172" fontId="2" fillId="4" borderId="0" xfId="2" applyNumberFormat="1" applyFont="1" applyFill="1" applyBorder="1" applyAlignment="1">
      <alignment horizontal="center" vertical="center"/>
    </xf>
    <xf numFmtId="0" fontId="0" fillId="4" borderId="0" xfId="0" applyFont="1" applyFill="1" applyBorder="1" applyAlignment="1">
      <alignment vertical="top" wrapText="1"/>
    </xf>
    <xf numFmtId="172" fontId="0" fillId="8" borderId="2" xfId="2" applyNumberFormat="1" applyFont="1" applyFill="1" applyBorder="1" applyAlignment="1">
      <alignment horizontal="center" vertical="center"/>
    </xf>
    <xf numFmtId="172" fontId="0" fillId="8" borderId="0" xfId="2" applyNumberFormat="1" applyFont="1" applyFill="1" applyBorder="1" applyAlignment="1">
      <alignment horizontal="center" vertical="center"/>
    </xf>
    <xf numFmtId="172" fontId="2" fillId="8" borderId="2" xfId="2" applyNumberFormat="1" applyFont="1" applyFill="1" applyBorder="1" applyAlignment="1">
      <alignment horizontal="center" vertical="center"/>
    </xf>
    <xf numFmtId="0" fontId="31" fillId="0" borderId="15" xfId="0" applyFont="1" applyFill="1" applyBorder="1"/>
    <xf numFmtId="0" fontId="0" fillId="0" borderId="15" xfId="0" applyFill="1" applyBorder="1"/>
    <xf numFmtId="0" fontId="31" fillId="0" borderId="15" xfId="0" applyFont="1" applyBorder="1"/>
    <xf numFmtId="0" fontId="0" fillId="0" borderId="15" xfId="0" applyBorder="1"/>
    <xf numFmtId="0" fontId="10" fillId="0" borderId="0" xfId="0" applyFont="1" applyBorder="1"/>
    <xf numFmtId="0" fontId="31" fillId="4" borderId="0" xfId="0" applyFont="1" applyFill="1" applyBorder="1"/>
    <xf numFmtId="0" fontId="2" fillId="4" borderId="0" xfId="0" applyFont="1" applyFill="1"/>
    <xf numFmtId="0" fontId="0" fillId="4" borderId="0" xfId="0" applyFill="1" applyAlignment="1">
      <alignment wrapText="1"/>
    </xf>
    <xf numFmtId="0" fontId="0" fillId="4" borderId="0" xfId="0" applyFill="1" applyBorder="1" applyAlignment="1">
      <alignment vertical="top" wrapText="1"/>
    </xf>
    <xf numFmtId="0" fontId="0" fillId="4" borderId="0" xfId="0" applyFill="1" applyBorder="1" applyAlignment="1">
      <alignment horizontal="left"/>
    </xf>
    <xf numFmtId="0" fontId="0" fillId="4" borderId="16" xfId="0" applyFill="1" applyBorder="1"/>
    <xf numFmtId="0" fontId="29" fillId="4" borderId="16" xfId="0" applyFont="1" applyFill="1" applyBorder="1" applyAlignment="1">
      <alignment horizontal="center"/>
    </xf>
    <xf numFmtId="172" fontId="0" fillId="8" borderId="0" xfId="2" applyNumberFormat="1" applyFont="1" applyFill="1" applyBorder="1" applyAlignment="1">
      <alignment horizontal="center"/>
    </xf>
    <xf numFmtId="172" fontId="0" fillId="8" borderId="1" xfId="0" applyNumberFormat="1" applyFont="1" applyFill="1" applyBorder="1" applyAlignment="1">
      <alignment horizontal="center" vertical="top" wrapText="1"/>
    </xf>
    <xf numFmtId="172" fontId="0" fillId="8" borderId="0" xfId="0" applyNumberFormat="1" applyFont="1" applyFill="1" applyBorder="1" applyAlignment="1">
      <alignment horizontal="center" vertical="top" wrapText="1"/>
    </xf>
    <xf numFmtId="0" fontId="0" fillId="0" borderId="0" xfId="0" applyFill="1" applyBorder="1" applyAlignment="1">
      <alignment horizontal="left"/>
    </xf>
    <xf numFmtId="0" fontId="0" fillId="4" borderId="0" xfId="0" applyFont="1" applyFill="1" applyBorder="1" applyAlignment="1">
      <alignment horizontal="right"/>
    </xf>
    <xf numFmtId="166" fontId="1" fillId="4" borderId="0" xfId="1" quotePrefix="1" applyNumberFormat="1" applyFont="1" applyFill="1" applyBorder="1" applyAlignment="1">
      <alignment horizontal="center"/>
    </xf>
    <xf numFmtId="3" fontId="2" fillId="4" borderId="0" xfId="0" quotePrefix="1" applyNumberFormat="1" applyFont="1" applyFill="1" applyBorder="1" applyAlignment="1">
      <alignment horizontal="center"/>
    </xf>
    <xf numFmtId="0" fontId="10" fillId="4" borderId="2" xfId="0" applyFont="1" applyFill="1" applyBorder="1" applyAlignment="1">
      <alignment horizontal="right"/>
    </xf>
    <xf numFmtId="0" fontId="2" fillId="4" borderId="1" xfId="0" applyFont="1" applyFill="1" applyBorder="1"/>
    <xf numFmtId="3" fontId="2" fillId="4" borderId="1" xfId="0" quotePrefix="1" applyNumberFormat="1" applyFont="1" applyFill="1" applyBorder="1" applyAlignment="1">
      <alignment horizontal="center"/>
    </xf>
    <xf numFmtId="0" fontId="29" fillId="0" borderId="13" xfId="0" applyFont="1" applyBorder="1" applyAlignment="1">
      <alignment horizontal="center"/>
    </xf>
    <xf numFmtId="0" fontId="0" fillId="0" borderId="13" xfId="0" applyBorder="1"/>
    <xf numFmtId="0" fontId="29" fillId="5" borderId="2" xfId="0" applyFont="1" applyFill="1" applyBorder="1" applyAlignment="1">
      <alignment horizontal="center"/>
    </xf>
    <xf numFmtId="0" fontId="0" fillId="0" borderId="2" xfId="0" applyBorder="1"/>
    <xf numFmtId="167" fontId="9" fillId="4" borderId="0" xfId="0" applyNumberFormat="1" applyFont="1" applyFill="1" applyBorder="1"/>
    <xf numFmtId="0" fontId="29" fillId="7" borderId="14" xfId="0" applyFont="1" applyFill="1" applyBorder="1" applyAlignment="1">
      <alignment horizontal="center"/>
    </xf>
    <xf numFmtId="0" fontId="0" fillId="0" borderId="14" xfId="0" applyFill="1" applyBorder="1"/>
    <xf numFmtId="0" fontId="6" fillId="0" borderId="14" xfId="0" applyFont="1" applyBorder="1" applyAlignment="1">
      <alignment horizontal="center"/>
    </xf>
    <xf numFmtId="0" fontId="29" fillId="0" borderId="0" xfId="0" applyFont="1" applyBorder="1" applyAlignment="1">
      <alignment horizontal="center"/>
    </xf>
    <xf numFmtId="0" fontId="35" fillId="0" borderId="0" xfId="29" applyFill="1" applyAlignment="1">
      <alignment horizontal="center"/>
    </xf>
    <xf numFmtId="0" fontId="0" fillId="4" borderId="0" xfId="0" applyFill="1" applyBorder="1" applyAlignment="1">
      <alignment horizontal="left" indent="4"/>
    </xf>
    <xf numFmtId="172" fontId="0" fillId="8" borderId="2" xfId="2" applyNumberFormat="1" applyFont="1" applyFill="1" applyBorder="1" applyAlignment="1">
      <alignment horizontal="center"/>
    </xf>
    <xf numFmtId="169" fontId="2" fillId="4" borderId="0" xfId="1" applyNumberFormat="1" applyFont="1" applyFill="1" applyBorder="1" applyAlignment="1">
      <alignment horizontal="center"/>
    </xf>
    <xf numFmtId="0" fontId="2" fillId="4" borderId="0" xfId="0" applyFont="1" applyFill="1" applyBorder="1" applyAlignment="1">
      <alignment horizontal="left" vertical="center"/>
    </xf>
    <xf numFmtId="0" fontId="0" fillId="4" borderId="0" xfId="0" applyFill="1" applyBorder="1" applyAlignment="1">
      <alignment horizontal="center" vertical="center"/>
    </xf>
    <xf numFmtId="0" fontId="12" fillId="4" borderId="0" xfId="0" applyFont="1" applyFill="1" applyBorder="1"/>
    <xf numFmtId="0" fontId="4" fillId="4" borderId="0" xfId="0" applyFont="1" applyFill="1" applyBorder="1" applyAlignment="1">
      <alignment horizontal="left" vertical="center"/>
    </xf>
    <xf numFmtId="0" fontId="19" fillId="4" borderId="0" xfId="0" applyFont="1" applyFill="1" applyBorder="1" applyAlignment="1">
      <alignment horizontal="left" vertical="center"/>
    </xf>
    <xf numFmtId="0" fontId="19" fillId="4" borderId="0" xfId="0" applyFont="1" applyFill="1" applyBorder="1" applyAlignment="1">
      <alignment horizontal="right" vertical="center"/>
    </xf>
    <xf numFmtId="170" fontId="0" fillId="4" borderId="0" xfId="1" applyNumberFormat="1" applyFont="1" applyFill="1" applyBorder="1" applyAlignment="1">
      <alignment horizontal="center"/>
    </xf>
    <xf numFmtId="0" fontId="0" fillId="4" borderId="0" xfId="0" applyFont="1" applyFill="1" applyBorder="1" applyAlignment="1">
      <alignment horizontal="left" vertical="center"/>
    </xf>
    <xf numFmtId="0" fontId="14" fillId="4" borderId="0" xfId="0" applyFont="1" applyFill="1" applyBorder="1" applyAlignment="1">
      <alignment horizontal="right" vertical="center"/>
    </xf>
    <xf numFmtId="0" fontId="11" fillId="4" borderId="0" xfId="0" applyFont="1" applyFill="1" applyBorder="1" applyAlignment="1">
      <alignment horizontal="center"/>
    </xf>
    <xf numFmtId="171" fontId="0" fillId="4" borderId="0" xfId="1" applyNumberFormat="1" applyFont="1" applyFill="1" applyBorder="1" applyAlignment="1">
      <alignment horizontal="center"/>
    </xf>
    <xf numFmtId="0" fontId="0" fillId="4" borderId="0" xfId="0" applyFont="1" applyFill="1" applyBorder="1" applyAlignment="1">
      <alignment vertical="center"/>
    </xf>
    <xf numFmtId="0" fontId="20" fillId="4" borderId="0" xfId="0" applyFont="1" applyFill="1" applyBorder="1"/>
    <xf numFmtId="166" fontId="22" fillId="9" borderId="0" xfId="1" applyNumberFormat="1" applyFont="1" applyFill="1" applyBorder="1" applyAlignment="1">
      <alignment horizontal="center"/>
    </xf>
    <xf numFmtId="0" fontId="21" fillId="4" borderId="0" xfId="0" applyFont="1" applyFill="1" applyBorder="1"/>
    <xf numFmtId="0" fontId="8" fillId="4" borderId="0" xfId="0" applyFont="1" applyFill="1" applyBorder="1"/>
    <xf numFmtId="0" fontId="3" fillId="4" borderId="0" xfId="0" applyFont="1" applyFill="1" applyBorder="1"/>
    <xf numFmtId="9" fontId="0" fillId="4" borderId="0" xfId="0" applyNumberFormat="1" applyFill="1" applyBorder="1" applyAlignment="1">
      <alignment horizontal="center"/>
    </xf>
    <xf numFmtId="9" fontId="0" fillId="4" borderId="0" xfId="1" applyNumberFormat="1" applyFont="1" applyFill="1" applyBorder="1" applyAlignment="1">
      <alignment horizontal="center"/>
    </xf>
    <xf numFmtId="9" fontId="0" fillId="0" borderId="0" xfId="0" applyNumberFormat="1"/>
    <xf numFmtId="9" fontId="0" fillId="4" borderId="14" xfId="1" applyFont="1" applyFill="1" applyBorder="1" applyAlignment="1">
      <alignment horizontal="center"/>
    </xf>
    <xf numFmtId="9" fontId="0" fillId="0" borderId="0" xfId="0" applyNumberFormat="1" applyAlignment="1">
      <alignment horizontal="center"/>
    </xf>
    <xf numFmtId="0" fontId="0" fillId="0" borderId="0" xfId="0" applyNumberFormat="1" applyAlignment="1">
      <alignment horizontal="center"/>
    </xf>
    <xf numFmtId="10" fontId="10" fillId="4" borderId="0" xfId="1" applyNumberFormat="1" applyFont="1" applyFill="1" applyBorder="1" applyAlignment="1">
      <alignment horizontal="center"/>
    </xf>
    <xf numFmtId="0" fontId="9" fillId="4" borderId="0" xfId="0" applyFont="1" applyFill="1" applyAlignment="1">
      <alignment horizontal="left"/>
    </xf>
    <xf numFmtId="0" fontId="23" fillId="0" borderId="0" xfId="0" applyFont="1" applyFill="1" applyBorder="1"/>
    <xf numFmtId="0" fontId="18" fillId="4" borderId="0" xfId="0" applyFont="1" applyFill="1" applyBorder="1" applyAlignment="1">
      <alignment vertical="center"/>
    </xf>
    <xf numFmtId="0" fontId="18" fillId="4" borderId="0" xfId="0" applyFont="1" applyFill="1" applyBorder="1" applyAlignment="1">
      <alignment horizontal="right"/>
    </xf>
    <xf numFmtId="0" fontId="37" fillId="0" borderId="0" xfId="0" applyFont="1" applyFill="1" applyBorder="1" applyAlignment="1">
      <alignment vertical="center"/>
    </xf>
    <xf numFmtId="0" fontId="30" fillId="0" borderId="0" xfId="0" applyFont="1"/>
    <xf numFmtId="0" fontId="10" fillId="4" borderId="13" xfId="0" applyFont="1" applyFill="1" applyBorder="1"/>
    <xf numFmtId="169" fontId="1" fillId="4" borderId="0" xfId="1" applyNumberFormat="1" applyFont="1" applyFill="1" applyBorder="1" applyAlignment="1">
      <alignment horizontal="center"/>
    </xf>
    <xf numFmtId="9" fontId="0" fillId="4" borderId="13" xfId="1" applyFont="1" applyFill="1" applyBorder="1" applyAlignment="1">
      <alignment horizontal="center"/>
    </xf>
    <xf numFmtId="9" fontId="0" fillId="4" borderId="15" xfId="1" applyFont="1" applyFill="1" applyBorder="1" applyAlignment="1">
      <alignment horizontal="center"/>
    </xf>
    <xf numFmtId="9" fontId="1" fillId="4" borderId="1" xfId="1" applyFont="1" applyFill="1" applyBorder="1" applyAlignment="1">
      <alignment horizontal="center"/>
    </xf>
    <xf numFmtId="0" fontId="36" fillId="8" borderId="1" xfId="0" applyFont="1" applyFill="1" applyBorder="1" applyAlignment="1"/>
    <xf numFmtId="0" fontId="29" fillId="0" borderId="1" xfId="0" applyFont="1" applyBorder="1" applyAlignment="1">
      <alignment horizontal="center"/>
    </xf>
    <xf numFmtId="0" fontId="29" fillId="0" borderId="15" xfId="0" applyFont="1" applyBorder="1" applyAlignment="1">
      <alignment horizontal="center"/>
    </xf>
    <xf numFmtId="0" fontId="30" fillId="8" borderId="15" xfId="0" applyFont="1" applyFill="1" applyBorder="1" applyAlignment="1"/>
    <xf numFmtId="172" fontId="2" fillId="8" borderId="15" xfId="2" applyNumberFormat="1" applyFont="1" applyFill="1" applyBorder="1" applyAlignment="1">
      <alignment horizontal="center" vertical="center"/>
    </xf>
    <xf numFmtId="0" fontId="38" fillId="4" borderId="0" xfId="0" applyFont="1" applyFill="1" applyBorder="1"/>
    <xf numFmtId="0" fontId="6" fillId="0" borderId="0" xfId="0" applyFont="1"/>
    <xf numFmtId="9" fontId="6" fillId="0" borderId="0" xfId="0" applyNumberFormat="1" applyFont="1" applyAlignment="1">
      <alignment horizontal="center"/>
    </xf>
    <xf numFmtId="0" fontId="3" fillId="4" borderId="19" xfId="0" applyFont="1" applyFill="1" applyBorder="1" applyAlignment="1">
      <alignment horizontal="center"/>
    </xf>
    <xf numFmtId="0" fontId="2" fillId="0" borderId="23" xfId="0" applyFont="1" applyBorder="1"/>
    <xf numFmtId="0" fontId="3" fillId="0" borderId="0" xfId="0" applyFont="1" applyAlignment="1">
      <alignment horizontal="center"/>
    </xf>
    <xf numFmtId="0" fontId="2" fillId="0" borderId="0" xfId="0" applyFont="1" applyBorder="1"/>
    <xf numFmtId="0" fontId="39" fillId="0" borderId="14" xfId="0" applyFont="1" applyBorder="1"/>
    <xf numFmtId="0" fontId="40" fillId="0" borderId="14" xfId="29" applyFont="1" applyFill="1" applyBorder="1" applyAlignment="1">
      <alignment horizontal="center"/>
    </xf>
    <xf numFmtId="0" fontId="41" fillId="0" borderId="0" xfId="29" applyFont="1" applyFill="1" applyAlignment="1">
      <alignment horizontal="center"/>
    </xf>
    <xf numFmtId="0" fontId="21" fillId="2" borderId="0" xfId="0" applyFont="1" applyFill="1" applyBorder="1" applyAlignment="1">
      <alignment horizontal="center" vertical="center"/>
    </xf>
    <xf numFmtId="0" fontId="42" fillId="0" borderId="0" xfId="29" applyFont="1" applyFill="1" applyAlignment="1">
      <alignment horizontal="center"/>
    </xf>
    <xf numFmtId="0" fontId="21" fillId="3" borderId="0" xfId="0" applyFont="1" applyFill="1" applyBorder="1" applyAlignment="1">
      <alignment horizontal="center" vertical="center"/>
    </xf>
    <xf numFmtId="0" fontId="43" fillId="0" borderId="0" xfId="29" applyFont="1" applyFill="1" applyAlignment="1">
      <alignment horizontal="center"/>
    </xf>
    <xf numFmtId="0" fontId="44" fillId="0" borderId="0" xfId="0" applyFont="1" applyAlignment="1">
      <alignment horizontal="right"/>
    </xf>
    <xf numFmtId="0" fontId="0" fillId="0" borderId="0" xfId="0" applyBorder="1" applyAlignment="1">
      <alignment horizontal="center"/>
    </xf>
    <xf numFmtId="0" fontId="9" fillId="0" borderId="0" xfId="0" applyFont="1" applyBorder="1"/>
    <xf numFmtId="0" fontId="0" fillId="4" borderId="0" xfId="0" applyFill="1" applyBorder="1" applyAlignment="1">
      <alignment horizontal="center"/>
    </xf>
    <xf numFmtId="0" fontId="0" fillId="0" borderId="3" xfId="0" applyBorder="1"/>
    <xf numFmtId="0" fontId="0" fillId="0" borderId="24" xfId="0" applyBorder="1"/>
    <xf numFmtId="9" fontId="2" fillId="8" borderId="2" xfId="1" applyFont="1" applyFill="1" applyBorder="1" applyAlignment="1">
      <alignment horizontal="center"/>
    </xf>
    <xf numFmtId="9" fontId="0" fillId="10" borderId="0" xfId="0" applyNumberFormat="1" applyFill="1" applyBorder="1" applyAlignment="1">
      <alignment horizontal="center"/>
    </xf>
    <xf numFmtId="172" fontId="0" fillId="10" borderId="0" xfId="2" applyNumberFormat="1" applyFont="1" applyFill="1" applyBorder="1" applyAlignment="1">
      <alignment horizontal="center" vertical="center"/>
    </xf>
    <xf numFmtId="165" fontId="10" fillId="4" borderId="0" xfId="2" applyFont="1" applyFill="1" applyBorder="1" applyAlignment="1">
      <alignment horizontal="center"/>
    </xf>
    <xf numFmtId="165" fontId="0" fillId="0" borderId="0" xfId="2" applyFont="1" applyAlignment="1">
      <alignment horizontal="center"/>
    </xf>
    <xf numFmtId="165" fontId="1" fillId="4" borderId="0" xfId="2" applyFont="1" applyFill="1" applyBorder="1" applyAlignment="1">
      <alignment horizontal="center"/>
    </xf>
    <xf numFmtId="165" fontId="0" fillId="4" borderId="0" xfId="2" applyFont="1" applyFill="1" applyBorder="1" applyAlignment="1">
      <alignment horizontal="center"/>
    </xf>
    <xf numFmtId="165" fontId="14" fillId="4" borderId="0" xfId="2" applyFont="1" applyFill="1" applyBorder="1" applyAlignment="1">
      <alignment horizontal="center" vertical="center"/>
    </xf>
    <xf numFmtId="165" fontId="13" fillId="4" borderId="0" xfId="2" applyFont="1" applyFill="1" applyBorder="1" applyAlignment="1">
      <alignment horizontal="left" vertical="center"/>
    </xf>
    <xf numFmtId="0" fontId="45" fillId="0" borderId="0" xfId="29" applyFont="1" applyFill="1" applyAlignment="1">
      <alignment horizontal="center"/>
    </xf>
    <xf numFmtId="0" fontId="0" fillId="4" borderId="0" xfId="0" applyFill="1" applyAlignment="1">
      <alignment horizontal="center"/>
    </xf>
    <xf numFmtId="0" fontId="31" fillId="4" borderId="0" xfId="0" applyFont="1" applyFill="1" applyAlignment="1">
      <alignment horizontal="center"/>
    </xf>
    <xf numFmtId="0" fontId="0" fillId="4" borderId="14" xfId="0" applyFill="1" applyBorder="1" applyAlignment="1">
      <alignment horizontal="center"/>
    </xf>
    <xf numFmtId="172" fontId="2" fillId="8" borderId="0" xfId="2" applyNumberFormat="1" applyFont="1" applyFill="1" applyBorder="1" applyAlignment="1">
      <alignment horizontal="center" vertical="center"/>
    </xf>
    <xf numFmtId="172" fontId="0" fillId="8" borderId="1" xfId="2" applyNumberFormat="1" applyFont="1" applyFill="1" applyBorder="1" applyAlignment="1">
      <alignment horizontal="center"/>
    </xf>
    <xf numFmtId="0" fontId="45" fillId="0" borderId="0" xfId="29" applyFont="1" applyFill="1" applyBorder="1" applyAlignment="1">
      <alignment horizontal="center"/>
    </xf>
    <xf numFmtId="9" fontId="0" fillId="10" borderId="3" xfId="0" applyNumberFormat="1" applyFill="1" applyBorder="1" applyAlignment="1">
      <alignment horizontal="center"/>
    </xf>
    <xf numFmtId="9" fontId="0" fillId="0" borderId="0" xfId="0" applyNumberFormat="1" applyAlignment="1">
      <alignment horizontal="left"/>
    </xf>
    <xf numFmtId="0" fontId="0" fillId="0" borderId="25" xfId="0" applyBorder="1" applyAlignment="1">
      <alignment horizontal="center"/>
    </xf>
    <xf numFmtId="0" fontId="0" fillId="0" borderId="15" xfId="0" applyBorder="1" applyAlignment="1">
      <alignment horizontal="center"/>
    </xf>
    <xf numFmtId="172" fontId="15" fillId="4" borderId="0" xfId="2" applyNumberFormat="1" applyFont="1" applyFill="1" applyBorder="1" applyAlignment="1">
      <alignment horizontal="center" vertical="center"/>
    </xf>
    <xf numFmtId="172" fontId="0" fillId="4" borderId="0" xfId="0" applyNumberFormat="1" applyFill="1" applyBorder="1"/>
    <xf numFmtId="0" fontId="12" fillId="4" borderId="0" xfId="0" applyFont="1" applyFill="1" applyBorder="1" applyAlignment="1">
      <alignment vertical="top" wrapText="1"/>
    </xf>
    <xf numFmtId="9" fontId="46" fillId="0" borderId="0" xfId="1" applyFont="1" applyFill="1" applyBorder="1" applyAlignment="1">
      <alignment horizontal="right" vertical="center"/>
    </xf>
    <xf numFmtId="0" fontId="14" fillId="0" borderId="0" xfId="0" applyFont="1"/>
    <xf numFmtId="0" fontId="0" fillId="0" borderId="27" xfId="0" applyBorder="1"/>
    <xf numFmtId="172" fontId="0" fillId="10" borderId="28" xfId="2" applyNumberFormat="1" applyFont="1" applyFill="1" applyBorder="1" applyAlignment="1">
      <alignment horizontal="center" vertical="center"/>
    </xf>
    <xf numFmtId="9" fontId="2" fillId="10" borderId="0" xfId="1" applyFont="1" applyFill="1" applyBorder="1" applyAlignment="1">
      <alignment horizontal="center"/>
    </xf>
    <xf numFmtId="165" fontId="47" fillId="10" borderId="0" xfId="2" applyNumberFormat="1" applyFont="1" applyFill="1" applyBorder="1" applyAlignment="1">
      <alignment horizontal="center" vertical="center"/>
    </xf>
    <xf numFmtId="43" fontId="0" fillId="0" borderId="0" xfId="0" applyNumberFormat="1"/>
    <xf numFmtId="172" fontId="0" fillId="0" borderId="0" xfId="0" applyNumberFormat="1"/>
    <xf numFmtId="0" fontId="0" fillId="0" borderId="0" xfId="0" applyFont="1"/>
    <xf numFmtId="0" fontId="0" fillId="4" borderId="0" xfId="0" applyFont="1" applyFill="1" applyBorder="1" applyAlignment="1">
      <alignment wrapText="1"/>
    </xf>
    <xf numFmtId="0" fontId="23" fillId="0" borderId="0" xfId="0" applyFont="1" applyFill="1" applyBorder="1" applyAlignment="1">
      <alignment vertical="center"/>
    </xf>
    <xf numFmtId="172" fontId="0" fillId="10" borderId="15" xfId="2" applyNumberFormat="1" applyFont="1" applyFill="1" applyBorder="1" applyAlignment="1">
      <alignment horizontal="center" vertical="center"/>
    </xf>
    <xf numFmtId="9" fontId="2" fillId="8" borderId="8" xfId="1" applyFont="1" applyFill="1" applyBorder="1" applyAlignment="1">
      <alignment horizontal="center"/>
    </xf>
    <xf numFmtId="172" fontId="2" fillId="8" borderId="29" xfId="2" applyNumberFormat="1" applyFont="1" applyFill="1" applyBorder="1" applyAlignment="1">
      <alignment horizontal="center" vertical="center"/>
    </xf>
    <xf numFmtId="3" fontId="8" fillId="3" borderId="0" xfId="0" quotePrefix="1" applyNumberFormat="1" applyFont="1" applyFill="1" applyBorder="1" applyAlignment="1">
      <alignment horizontal="center"/>
    </xf>
    <xf numFmtId="9" fontId="0" fillId="0" borderId="0" xfId="0" applyNumberFormat="1" applyBorder="1" applyAlignment="1">
      <alignment horizontal="center"/>
    </xf>
    <xf numFmtId="170" fontId="0" fillId="11" borderId="0" xfId="1" applyNumberFormat="1" applyFont="1" applyFill="1" applyBorder="1" applyAlignment="1">
      <alignment horizontal="center"/>
    </xf>
    <xf numFmtId="3" fontId="0" fillId="0" borderId="0" xfId="0" applyNumberFormat="1" applyBorder="1" applyAlignment="1">
      <alignment horizontal="center"/>
    </xf>
    <xf numFmtId="9" fontId="14" fillId="4" borderId="0" xfId="1" applyFont="1" applyFill="1" applyBorder="1" applyAlignment="1">
      <alignment horizontal="left" vertical="center"/>
    </xf>
    <xf numFmtId="0" fontId="14" fillId="0" borderId="0" xfId="0" applyFont="1" applyFill="1" applyBorder="1" applyAlignment="1">
      <alignment horizontal="left"/>
    </xf>
    <xf numFmtId="9" fontId="14" fillId="0" borderId="0" xfId="1" applyFont="1" applyFill="1" applyBorder="1" applyAlignment="1">
      <alignment horizontal="center" vertical="top" wrapText="1"/>
    </xf>
    <xf numFmtId="9" fontId="29" fillId="0" borderId="0" xfId="0" applyNumberFormat="1" applyFont="1" applyAlignment="1">
      <alignment horizontal="left"/>
    </xf>
    <xf numFmtId="9" fontId="8" fillId="4" borderId="15" xfId="1" applyNumberFormat="1" applyFont="1" applyFill="1" applyBorder="1" applyAlignment="1">
      <alignment horizontal="center"/>
    </xf>
    <xf numFmtId="9" fontId="9" fillId="12" borderId="0" xfId="1" applyFont="1" applyFill="1" applyBorder="1" applyAlignment="1">
      <alignment horizontal="center"/>
    </xf>
    <xf numFmtId="170" fontId="0" fillId="11" borderId="14" xfId="1" applyNumberFormat="1" applyFont="1" applyFill="1" applyBorder="1" applyAlignment="1">
      <alignment horizontal="center"/>
    </xf>
    <xf numFmtId="0" fontId="0" fillId="6" borderId="13" xfId="0" applyFill="1" applyBorder="1" applyAlignment="1" applyProtection="1">
      <alignment horizontal="center"/>
      <protection locked="0"/>
    </xf>
    <xf numFmtId="172" fontId="0" fillId="6" borderId="0" xfId="2" applyNumberFormat="1" applyFont="1" applyFill="1" applyBorder="1" applyAlignment="1" applyProtection="1">
      <alignment horizontal="center" vertical="center"/>
      <protection locked="0"/>
    </xf>
    <xf numFmtId="172" fontId="0" fillId="10" borderId="0" xfId="2" applyNumberFormat="1" applyFont="1" applyFill="1" applyBorder="1" applyAlignment="1" applyProtection="1">
      <alignment horizontal="center" vertical="center"/>
      <protection locked="0"/>
    </xf>
    <xf numFmtId="172" fontId="14" fillId="6" borderId="0" xfId="2" applyNumberFormat="1" applyFont="1" applyFill="1" applyBorder="1" applyAlignment="1" applyProtection="1">
      <alignment horizontal="right" vertical="center"/>
      <protection locked="0"/>
    </xf>
    <xf numFmtId="172" fontId="2" fillId="8" borderId="13" xfId="2" applyNumberFormat="1" applyFont="1" applyFill="1" applyBorder="1" applyAlignment="1" applyProtection="1">
      <alignment horizontal="center" vertical="center"/>
      <protection locked="0"/>
    </xf>
    <xf numFmtId="172" fontId="2" fillId="8" borderId="14" xfId="2" applyNumberFormat="1" applyFont="1" applyFill="1" applyBorder="1" applyAlignment="1" applyProtection="1">
      <alignment horizontal="center" vertical="center"/>
      <protection locked="0"/>
    </xf>
    <xf numFmtId="9" fontId="10" fillId="14" borderId="0" xfId="1" applyFont="1" applyFill="1" applyBorder="1" applyAlignment="1" applyProtection="1">
      <alignment horizontal="center" vertical="center"/>
      <protection locked="0"/>
    </xf>
    <xf numFmtId="172" fontId="0" fillId="6" borderId="14" xfId="2" applyNumberFormat="1" applyFont="1" applyFill="1" applyBorder="1" applyAlignment="1" applyProtection="1">
      <alignment horizontal="center" vertical="center"/>
      <protection locked="0"/>
    </xf>
    <xf numFmtId="172" fontId="0" fillId="10" borderId="2" xfId="2" applyNumberFormat="1" applyFont="1" applyFill="1" applyBorder="1" applyAlignment="1" applyProtection="1">
      <alignment horizontal="center" vertical="center"/>
      <protection locked="0"/>
    </xf>
    <xf numFmtId="172" fontId="2" fillId="8" borderId="1" xfId="2" applyNumberFormat="1" applyFont="1" applyFill="1" applyBorder="1" applyAlignment="1" applyProtection="1">
      <alignment horizontal="center" vertical="center"/>
      <protection locked="0"/>
    </xf>
    <xf numFmtId="172" fontId="0" fillId="6" borderId="2" xfId="2" applyNumberFormat="1" applyFont="1" applyFill="1" applyBorder="1" applyAlignment="1" applyProtection="1">
      <alignment horizontal="center" vertical="center"/>
      <protection locked="0"/>
    </xf>
    <xf numFmtId="167" fontId="14" fillId="6" borderId="0" xfId="0" applyNumberFormat="1" applyFont="1" applyFill="1" applyBorder="1" applyAlignment="1" applyProtection="1">
      <alignment horizontal="center"/>
      <protection locked="0"/>
    </xf>
    <xf numFmtId="172" fontId="2" fillId="8" borderId="15" xfId="2" applyNumberFormat="1" applyFont="1" applyFill="1" applyBorder="1" applyAlignment="1" applyProtection="1">
      <alignment horizontal="center" vertical="center"/>
      <protection locked="0"/>
    </xf>
    <xf numFmtId="172" fontId="0" fillId="6" borderId="17" xfId="2" applyNumberFormat="1" applyFont="1" applyFill="1" applyBorder="1" applyAlignment="1" applyProtection="1">
      <alignment horizontal="center" vertical="center"/>
      <protection locked="0"/>
    </xf>
    <xf numFmtId="172" fontId="0" fillId="6" borderId="18" xfId="2" applyNumberFormat="1" applyFont="1" applyFill="1" applyBorder="1" applyAlignment="1" applyProtection="1">
      <alignment horizontal="center" vertical="center"/>
      <protection locked="0"/>
    </xf>
    <xf numFmtId="172" fontId="0" fillId="6" borderId="30" xfId="2" applyNumberFormat="1" applyFont="1" applyFill="1" applyBorder="1" applyAlignment="1" applyProtection="1">
      <alignment horizontal="center" vertical="center"/>
      <protection locked="0"/>
    </xf>
    <xf numFmtId="172" fontId="0" fillId="6" borderId="15" xfId="2" applyNumberFormat="1" applyFont="1" applyFill="1" applyBorder="1" applyAlignment="1" applyProtection="1">
      <alignment horizontal="center" vertical="center"/>
      <protection locked="0"/>
    </xf>
    <xf numFmtId="172" fontId="0" fillId="6" borderId="26" xfId="2" applyNumberFormat="1" applyFont="1" applyFill="1" applyBorder="1" applyAlignment="1" applyProtection="1">
      <alignment horizontal="center" vertical="center"/>
      <protection locked="0"/>
    </xf>
    <xf numFmtId="172" fontId="0" fillId="6" borderId="19" xfId="2" applyNumberFormat="1" applyFont="1" applyFill="1" applyBorder="1" applyAlignment="1" applyProtection="1">
      <alignment horizontal="center" vertical="center"/>
      <protection locked="0"/>
    </xf>
    <xf numFmtId="172" fontId="0" fillId="6" borderId="20" xfId="2" applyNumberFormat="1" applyFont="1" applyFill="1" applyBorder="1" applyAlignment="1" applyProtection="1">
      <alignment horizontal="center" vertical="center"/>
      <protection locked="0"/>
    </xf>
    <xf numFmtId="172" fontId="0" fillId="6" borderId="21" xfId="2" applyNumberFormat="1" applyFont="1" applyFill="1" applyBorder="1" applyAlignment="1" applyProtection="1">
      <alignment horizontal="center" vertical="center"/>
      <protection locked="0"/>
    </xf>
    <xf numFmtId="172" fontId="0" fillId="6" borderId="1" xfId="2" applyNumberFormat="1" applyFont="1" applyFill="1" applyBorder="1" applyAlignment="1" applyProtection="1">
      <alignment horizontal="center" vertical="center"/>
      <protection locked="0"/>
    </xf>
    <xf numFmtId="172" fontId="0" fillId="6" borderId="22" xfId="2" applyNumberFormat="1" applyFont="1" applyFill="1" applyBorder="1" applyAlignment="1" applyProtection="1">
      <alignment horizontal="center" vertical="center"/>
      <protection locked="0"/>
    </xf>
    <xf numFmtId="9" fontId="24" fillId="0" borderId="0" xfId="1" applyFont="1" applyFill="1" applyBorder="1" applyAlignment="1" applyProtection="1">
      <alignment horizontal="center" vertical="center"/>
      <protection locked="0"/>
    </xf>
    <xf numFmtId="164" fontId="15" fillId="0" borderId="0" xfId="0" applyNumberFormat="1" applyFont="1" applyFill="1" applyBorder="1" applyProtection="1">
      <protection locked="0"/>
    </xf>
    <xf numFmtId="0" fontId="0" fillId="0" borderId="0" xfId="0" applyProtection="1">
      <protection locked="0"/>
    </xf>
    <xf numFmtId="166" fontId="15" fillId="4" borderId="0" xfId="1" applyNumberFormat="1" applyFont="1" applyFill="1" applyBorder="1" applyAlignment="1" applyProtection="1">
      <alignment horizontal="center"/>
      <protection locked="0"/>
    </xf>
    <xf numFmtId="0" fontId="3" fillId="0" borderId="0" xfId="0" applyFont="1" applyBorder="1"/>
    <xf numFmtId="0" fontId="34" fillId="4" borderId="0" xfId="0" applyFont="1" applyFill="1" applyBorder="1"/>
    <xf numFmtId="0" fontId="3" fillId="0" borderId="0" xfId="0" applyFont="1" applyFill="1" applyBorder="1"/>
    <xf numFmtId="164" fontId="2" fillId="4" borderId="0" xfId="0" applyNumberFormat="1" applyFont="1" applyFill="1" applyBorder="1" applyProtection="1">
      <protection locked="0"/>
    </xf>
    <xf numFmtId="0" fontId="23" fillId="0" borderId="0" xfId="0" applyFont="1" applyFill="1" applyBorder="1" applyProtection="1">
      <protection locked="0"/>
    </xf>
    <xf numFmtId="0" fontId="0" fillId="4" borderId="0" xfId="0" applyFill="1" applyBorder="1" applyProtection="1">
      <protection locked="0"/>
    </xf>
    <xf numFmtId="170" fontId="1" fillId="0" borderId="2" xfId="1" applyNumberFormat="1" applyFont="1" applyFill="1" applyBorder="1" applyAlignment="1" applyProtection="1">
      <alignment horizontal="center"/>
      <protection locked="0"/>
    </xf>
    <xf numFmtId="0" fontId="48" fillId="4" borderId="0" xfId="30" applyFont="1" applyFill="1" applyBorder="1"/>
    <xf numFmtId="0" fontId="49" fillId="0" borderId="14" xfId="0" applyFont="1" applyBorder="1" applyAlignment="1">
      <alignment horizontal="center"/>
    </xf>
    <xf numFmtId="4" fontId="3" fillId="0" borderId="0" xfId="0" applyNumberFormat="1" applyFont="1" applyBorder="1"/>
    <xf numFmtId="9" fontId="3" fillId="0" borderId="0" xfId="0" applyNumberFormat="1" applyFont="1" applyBorder="1"/>
    <xf numFmtId="9" fontId="3" fillId="0" borderId="0" xfId="1" applyFont="1" applyBorder="1"/>
    <xf numFmtId="9" fontId="3" fillId="4" borderId="0" xfId="1" applyFont="1" applyFill="1" applyBorder="1"/>
    <xf numFmtId="166" fontId="3" fillId="0" borderId="0" xfId="1" applyNumberFormat="1" applyFont="1" applyBorder="1"/>
    <xf numFmtId="0" fontId="3" fillId="0" borderId="0" xfId="0" applyNumberFormat="1" applyFont="1" applyFill="1" applyBorder="1"/>
    <xf numFmtId="166" fontId="3" fillId="0" borderId="0" xfId="0" applyNumberFormat="1" applyFont="1" applyBorder="1"/>
    <xf numFmtId="0" fontId="3" fillId="0" borderId="0" xfId="0" applyFont="1" applyBorder="1" applyAlignment="1">
      <alignment horizontal="center"/>
    </xf>
    <xf numFmtId="0" fontId="8" fillId="0" borderId="14" xfId="0" applyFont="1" applyBorder="1"/>
    <xf numFmtId="0" fontId="3" fillId="0" borderId="14" xfId="0" applyFont="1" applyBorder="1"/>
    <xf numFmtId="166" fontId="3" fillId="4" borderId="0" xfId="1" applyNumberFormat="1" applyFont="1" applyFill="1" applyBorder="1" applyAlignment="1">
      <alignment horizontal="center"/>
    </xf>
    <xf numFmtId="0" fontId="3" fillId="4" borderId="0" xfId="0" applyFont="1" applyFill="1" applyBorder="1" applyAlignment="1">
      <alignment horizontal="left"/>
    </xf>
    <xf numFmtId="0" fontId="52" fillId="4" borderId="0" xfId="0" applyFont="1" applyFill="1" applyBorder="1" applyAlignment="1">
      <alignment horizontal="left"/>
    </xf>
    <xf numFmtId="9" fontId="3" fillId="4" borderId="0" xfId="1" applyFont="1" applyFill="1" applyBorder="1" applyAlignment="1">
      <alignment horizontal="center"/>
    </xf>
    <xf numFmtId="4" fontId="3" fillId="4" borderId="0" xfId="1" applyNumberFormat="1" applyFont="1" applyFill="1" applyBorder="1" applyAlignment="1">
      <alignment horizontal="center"/>
    </xf>
    <xf numFmtId="9" fontId="3" fillId="0" borderId="0" xfId="1" applyNumberFormat="1" applyFont="1" applyBorder="1"/>
    <xf numFmtId="10" fontId="3" fillId="0" borderId="0" xfId="0" applyNumberFormat="1" applyFont="1" applyBorder="1"/>
    <xf numFmtId="0" fontId="3" fillId="4" borderId="14" xfId="0" applyFont="1" applyFill="1" applyBorder="1"/>
    <xf numFmtId="166" fontId="3" fillId="4" borderId="14" xfId="1" applyNumberFormat="1" applyFont="1" applyFill="1" applyBorder="1" applyAlignment="1">
      <alignment horizontal="center"/>
    </xf>
    <xf numFmtId="10" fontId="3" fillId="4" borderId="0" xfId="1" applyNumberFormat="1" applyFont="1" applyFill="1" applyBorder="1" applyAlignment="1">
      <alignment horizontal="center"/>
    </xf>
    <xf numFmtId="165" fontId="3" fillId="4" borderId="0" xfId="2" applyFont="1" applyFill="1" applyBorder="1" applyAlignment="1">
      <alignment horizontal="center"/>
    </xf>
    <xf numFmtId="165" fontId="3" fillId="0" borderId="0" xfId="2" applyFont="1" applyAlignment="1">
      <alignment horizontal="center"/>
    </xf>
    <xf numFmtId="0" fontId="3" fillId="4" borderId="15" xfId="0" applyFont="1" applyFill="1" applyBorder="1"/>
    <xf numFmtId="0" fontId="53" fillId="0" borderId="0" xfId="0" applyFont="1" applyAlignment="1">
      <alignment horizontal="right"/>
    </xf>
    <xf numFmtId="0" fontId="3" fillId="4" borderId="13" xfId="0" applyFont="1" applyFill="1" applyBorder="1"/>
    <xf numFmtId="9" fontId="3" fillId="4" borderId="14" xfId="1" applyFont="1" applyFill="1" applyBorder="1" applyAlignment="1">
      <alignment horizontal="center"/>
    </xf>
    <xf numFmtId="0" fontId="8" fillId="4" borderId="14" xfId="0" applyFont="1" applyFill="1" applyBorder="1"/>
    <xf numFmtId="170" fontId="3" fillId="11" borderId="14" xfId="1" applyNumberFormat="1" applyFont="1" applyFill="1" applyBorder="1" applyAlignment="1">
      <alignment horizontal="center"/>
    </xf>
    <xf numFmtId="0" fontId="53" fillId="4" borderId="0" xfId="0" applyFont="1" applyFill="1" applyBorder="1" applyAlignment="1">
      <alignment horizontal="right"/>
    </xf>
    <xf numFmtId="0" fontId="3" fillId="4" borderId="2" xfId="0" applyFont="1" applyFill="1" applyBorder="1" applyAlignment="1">
      <alignment horizontal="right"/>
    </xf>
    <xf numFmtId="170" fontId="3" fillId="0" borderId="2" xfId="1" applyNumberFormat="1" applyFont="1" applyFill="1" applyBorder="1" applyAlignment="1" applyProtection="1">
      <alignment horizontal="center"/>
      <protection locked="0"/>
    </xf>
    <xf numFmtId="0" fontId="3" fillId="4" borderId="0" xfId="0" applyFont="1" applyFill="1" applyBorder="1" applyAlignment="1">
      <alignment horizontal="right"/>
    </xf>
    <xf numFmtId="166" fontId="3" fillId="4" borderId="0" xfId="1" quotePrefix="1" applyNumberFormat="1" applyFont="1" applyFill="1" applyBorder="1" applyAlignment="1">
      <alignment horizontal="center"/>
    </xf>
    <xf numFmtId="0" fontId="8" fillId="4" borderId="1" xfId="0" applyFont="1" applyFill="1" applyBorder="1"/>
    <xf numFmtId="3" fontId="8" fillId="4" borderId="1" xfId="0" quotePrefix="1" applyNumberFormat="1" applyFont="1" applyFill="1" applyBorder="1" applyAlignment="1">
      <alignment horizontal="center"/>
    </xf>
    <xf numFmtId="0" fontId="53" fillId="4" borderId="0" xfId="0" applyFont="1" applyFill="1" applyAlignment="1">
      <alignment horizontal="right"/>
    </xf>
    <xf numFmtId="0" fontId="34" fillId="4" borderId="0" xfId="0" applyFont="1" applyFill="1"/>
    <xf numFmtId="9" fontId="3" fillId="4" borderId="1" xfId="1" applyFont="1" applyFill="1" applyBorder="1" applyAlignment="1">
      <alignment horizontal="center"/>
    </xf>
    <xf numFmtId="169" fontId="3" fillId="4" borderId="0" xfId="1" applyNumberFormat="1" applyFont="1" applyFill="1" applyBorder="1" applyAlignment="1">
      <alignment horizontal="center"/>
    </xf>
    <xf numFmtId="9" fontId="3" fillId="4" borderId="13" xfId="1" applyFont="1" applyFill="1" applyBorder="1" applyAlignment="1">
      <alignment horizontal="center"/>
    </xf>
    <xf numFmtId="9" fontId="3" fillId="4" borderId="15" xfId="1" applyFont="1" applyFill="1" applyBorder="1" applyAlignment="1">
      <alignment horizontal="center"/>
    </xf>
    <xf numFmtId="0" fontId="0" fillId="10" borderId="13" xfId="0" applyFill="1" applyBorder="1" applyAlignment="1">
      <alignment horizontal="center"/>
    </xf>
    <xf numFmtId="0" fontId="2" fillId="10" borderId="0" xfId="0" applyFont="1" applyFill="1" applyBorder="1" applyAlignment="1">
      <alignment horizontal="left"/>
    </xf>
    <xf numFmtId="0" fontId="39" fillId="13" borderId="0" xfId="0" applyFont="1" applyFill="1" applyBorder="1" applyAlignment="1">
      <alignment horizontal="center"/>
    </xf>
    <xf numFmtId="0" fontId="6" fillId="0" borderId="14" xfId="0" applyFont="1" applyBorder="1" applyAlignment="1">
      <alignment horizontal="center"/>
    </xf>
    <xf numFmtId="0" fontId="2" fillId="4" borderId="2" xfId="0" applyFont="1" applyFill="1" applyBorder="1" applyAlignment="1">
      <alignment horizontal="center" vertical="center" wrapText="1"/>
    </xf>
    <xf numFmtId="0" fontId="8" fillId="4" borderId="2" xfId="0" applyFont="1" applyFill="1" applyBorder="1" applyAlignment="1">
      <alignment horizontal="center" vertical="center" wrapText="1"/>
    </xf>
    <xf numFmtId="9" fontId="7" fillId="4" borderId="2" xfId="0" applyNumberFormat="1" applyFont="1" applyFill="1" applyBorder="1" applyAlignment="1">
      <alignment horizontal="center" vertical="center"/>
    </xf>
    <xf numFmtId="9" fontId="7" fillId="4" borderId="1" xfId="0" applyNumberFormat="1" applyFont="1" applyFill="1" applyBorder="1" applyAlignment="1">
      <alignment horizontal="center" vertical="center"/>
    </xf>
    <xf numFmtId="0" fontId="15" fillId="4" borderId="1" xfId="0" applyFont="1" applyFill="1" applyBorder="1" applyAlignment="1">
      <alignment horizontal="center" vertical="center" wrapText="1"/>
    </xf>
    <xf numFmtId="0" fontId="18" fillId="4" borderId="23" xfId="0" applyFont="1" applyFill="1" applyBorder="1" applyAlignment="1" applyProtection="1">
      <alignment horizontal="center" vertical="center"/>
      <protection locked="0"/>
    </xf>
    <xf numFmtId="0" fontId="6" fillId="0" borderId="5" xfId="0" applyFont="1" applyBorder="1" applyAlignment="1">
      <alignment horizontal="center"/>
    </xf>
    <xf numFmtId="0" fontId="6" fillId="0" borderId="6" xfId="0" applyFont="1" applyBorder="1" applyAlignment="1">
      <alignment horizontal="center"/>
    </xf>
    <xf numFmtId="0" fontId="6" fillId="0" borderId="7" xfId="0" applyFont="1" applyBorder="1" applyAlignment="1">
      <alignment horizontal="center"/>
    </xf>
  </cellXfs>
  <cellStyles count="31">
    <cellStyle name="Comma" xfId="2" builtinId="3"/>
    <cellStyle name="Explanatory Text" xfId="29" builtinId="53"/>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30" builtinId="8"/>
    <cellStyle name="Normal" xfId="0" builtinId="0"/>
    <cellStyle name="Percent" xfId="1" builtinId="5"/>
  </cellStyles>
  <dxfs count="150">
    <dxf>
      <font>
        <b/>
        <i val="0"/>
        <color theme="0"/>
      </font>
      <fill>
        <patternFill>
          <bgColor rgb="FF990033"/>
        </patternFill>
      </fill>
    </dxf>
    <dxf>
      <font>
        <b/>
        <i val="0"/>
        <color theme="0"/>
      </font>
      <fill>
        <patternFill>
          <bgColor rgb="FFFF0000"/>
        </patternFill>
      </fill>
    </dxf>
    <dxf>
      <font>
        <b/>
        <i val="0"/>
        <color theme="0"/>
      </font>
      <fill>
        <patternFill>
          <bgColor rgb="FF009900"/>
        </patternFill>
      </fill>
    </dxf>
    <dxf>
      <font>
        <color auto="1"/>
      </font>
      <fill>
        <patternFill>
          <bgColor theme="0" tint="-4.9989318521683403E-2"/>
        </patternFill>
      </fill>
    </dxf>
    <dxf>
      <font>
        <color auto="1"/>
      </font>
      <fill>
        <patternFill>
          <bgColor theme="0" tint="-0.24994659260841701"/>
        </patternFill>
      </fill>
    </dxf>
    <dxf>
      <font>
        <b/>
        <i val="0"/>
        <color theme="0"/>
      </font>
      <fill>
        <patternFill>
          <bgColor rgb="FFFF0000"/>
        </patternFill>
      </fill>
    </dxf>
    <dxf>
      <font>
        <b/>
        <i val="0"/>
        <color rgb="FFFFFFFF"/>
      </font>
      <fill>
        <patternFill>
          <bgColor rgb="FF009900"/>
        </patternFill>
      </fill>
    </dxf>
    <dxf>
      <font>
        <b/>
        <i val="0"/>
        <color rgb="FFFFFFFF"/>
      </font>
      <fill>
        <patternFill>
          <bgColor rgb="FFFF0000"/>
        </patternFill>
      </fill>
    </dxf>
    <dxf>
      <font>
        <b/>
        <i val="0"/>
        <color theme="0"/>
      </font>
      <fill>
        <patternFill>
          <bgColor rgb="FF009900"/>
        </patternFill>
      </fill>
    </dxf>
    <dxf>
      <font>
        <b/>
        <i val="0"/>
        <color theme="0"/>
      </font>
      <fill>
        <patternFill>
          <bgColor rgb="FFFF0000"/>
        </patternFill>
      </fill>
    </dxf>
    <dxf>
      <font>
        <b/>
        <i val="0"/>
        <color theme="0"/>
      </font>
      <fill>
        <patternFill>
          <bgColor rgb="FFFF0000"/>
        </patternFill>
      </fill>
    </dxf>
    <dxf>
      <font>
        <color theme="0"/>
      </font>
      <fill>
        <patternFill>
          <bgColor theme="0"/>
        </patternFill>
      </fill>
    </dxf>
    <dxf>
      <fill>
        <patternFill>
          <bgColor theme="0"/>
        </patternFill>
      </fill>
    </dxf>
    <dxf>
      <fill>
        <patternFill>
          <bgColor theme="0"/>
        </patternFill>
      </fill>
    </dxf>
    <dxf>
      <fill>
        <patternFill>
          <bgColor theme="0"/>
        </patternFill>
      </fill>
    </dxf>
    <dxf>
      <font>
        <b/>
        <i val="0"/>
        <color theme="0"/>
      </font>
      <fill>
        <patternFill>
          <bgColor rgb="FF009900"/>
        </patternFill>
      </fill>
    </dxf>
    <dxf>
      <font>
        <b/>
        <i val="0"/>
        <color theme="0"/>
      </font>
      <fill>
        <patternFill>
          <bgColor rgb="FFFF0000"/>
        </patternFill>
      </fill>
    </dxf>
    <dxf>
      <font>
        <b/>
        <i val="0"/>
        <color theme="0"/>
      </font>
      <fill>
        <patternFill>
          <bgColor rgb="FF009900"/>
        </patternFill>
      </fill>
    </dxf>
    <dxf>
      <font>
        <b/>
        <i val="0"/>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FFFF"/>
      </font>
      <fill>
        <patternFill>
          <bgColor rgb="FF009900"/>
        </patternFill>
      </fill>
    </dxf>
    <dxf>
      <font>
        <b/>
        <i val="0"/>
        <color rgb="FFFFFFFF"/>
      </font>
      <fill>
        <patternFill>
          <bgColor rgb="FFFF0000"/>
        </patternFill>
      </fill>
    </dxf>
    <dxf>
      <font>
        <b/>
        <i val="0"/>
        <color rgb="FFFFFFFF"/>
      </font>
      <fill>
        <patternFill>
          <bgColor rgb="FF009900"/>
        </patternFill>
      </fill>
    </dxf>
    <dxf>
      <font>
        <b/>
        <i val="0"/>
        <color rgb="FFFFFFFF"/>
      </font>
      <fill>
        <patternFill>
          <bgColor rgb="FFFF0000"/>
        </patternFill>
      </fill>
    </dxf>
    <dxf>
      <numFmt numFmtId="174" formatCode="&quot;USD&quot;\ #,##0"/>
    </dxf>
    <dxf>
      <numFmt numFmtId="175" formatCode="&quot;$&quot;\ #,##0.00;[Red]&quot;$&quot;\ #,##0.00"/>
    </dxf>
    <dxf>
      <numFmt numFmtId="174" formatCode="&quot;USD&quot;\ #,##0"/>
    </dxf>
    <dxf>
      <numFmt numFmtId="175" formatCode="&quot;$&quot;\ #,##0.00;[Red]&quot;$&quot;\ #,##0.00"/>
    </dxf>
    <dxf>
      <numFmt numFmtId="174" formatCode="&quot;USD&quot;\ #,##0"/>
    </dxf>
    <dxf>
      <numFmt numFmtId="175" formatCode="&quot;$&quot;\ #,##0.00;[Red]&quot;$&quot;\ #,##0.00"/>
    </dxf>
    <dxf>
      <numFmt numFmtId="174" formatCode="&quot;USD&quot;\ #,##0"/>
    </dxf>
    <dxf>
      <numFmt numFmtId="175" formatCode="&quot;$&quot;\ #,##0.00;[Red]&quot;$&quot;\ #,##0.00"/>
    </dxf>
    <dxf>
      <fill>
        <patternFill>
          <bgColor rgb="FF00B050"/>
        </patternFill>
      </fill>
    </dxf>
    <dxf>
      <font>
        <color theme="1"/>
      </font>
      <fill>
        <patternFill>
          <bgColor rgb="FFFFFF00"/>
        </patternFill>
      </fill>
    </dxf>
    <dxf>
      <font>
        <b/>
        <i val="0"/>
        <color theme="0"/>
      </font>
      <fill>
        <patternFill>
          <bgColor rgb="FF990033"/>
        </patternFill>
      </fill>
    </dxf>
    <dxf>
      <font>
        <b/>
        <i val="0"/>
        <color theme="0"/>
      </font>
      <fill>
        <patternFill>
          <bgColor rgb="FFFF0000"/>
        </patternFill>
      </fill>
    </dxf>
    <dxf>
      <font>
        <b/>
        <i val="0"/>
        <color theme="0"/>
      </font>
      <fill>
        <patternFill>
          <bgColor rgb="FF00B050"/>
        </patternFill>
      </fill>
    </dxf>
    <dxf>
      <font>
        <color auto="1"/>
      </font>
      <fill>
        <patternFill>
          <bgColor theme="0" tint="-4.9989318521683403E-2"/>
        </patternFill>
      </fill>
    </dxf>
    <dxf>
      <font>
        <b/>
        <i val="0"/>
        <color theme="0"/>
      </font>
      <fill>
        <patternFill>
          <bgColor rgb="FFFF0000"/>
        </patternFill>
      </fill>
    </dxf>
    <dxf>
      <font>
        <color rgb="FFFF0000"/>
      </font>
    </dxf>
    <dxf>
      <font>
        <color rgb="FFFF0000"/>
      </font>
    </dxf>
    <dxf>
      <font>
        <color theme="0" tint="-0.24994659260841701"/>
      </font>
      <fill>
        <patternFill>
          <bgColor theme="0" tint="-0.24994659260841701"/>
        </patternFill>
      </fill>
    </dxf>
    <dxf>
      <font>
        <color auto="1"/>
      </font>
      <fill>
        <patternFill>
          <bgColor theme="0" tint="-0.24994659260841701"/>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color rgb="FFFF0000"/>
      </font>
    </dxf>
    <dxf>
      <font>
        <color rgb="FFFF0000"/>
      </font>
    </dxf>
    <dxf>
      <fill>
        <patternFill>
          <bgColor rgb="FF00B050"/>
        </patternFill>
      </fill>
    </dxf>
    <dxf>
      <font>
        <color theme="1"/>
      </font>
      <fill>
        <patternFill>
          <bgColor rgb="FFFFFF00"/>
        </patternFill>
      </fill>
    </dxf>
    <dxf>
      <font>
        <b/>
        <i val="0"/>
        <color theme="0"/>
      </font>
      <fill>
        <patternFill>
          <bgColor rgb="FF990033"/>
        </patternFill>
      </fill>
    </dxf>
    <dxf>
      <font>
        <b/>
        <i val="0"/>
        <color theme="0"/>
      </font>
      <fill>
        <patternFill>
          <bgColor rgb="FFFF0000"/>
        </patternFill>
      </fill>
    </dxf>
    <dxf>
      <font>
        <b/>
        <i val="0"/>
        <color theme="0"/>
      </font>
      <fill>
        <patternFill>
          <bgColor rgb="FF00B050"/>
        </patternFill>
      </fill>
    </dxf>
    <dxf>
      <font>
        <color auto="1"/>
      </font>
      <fill>
        <patternFill>
          <bgColor theme="0" tint="-4.9989318521683403E-2"/>
        </patternFill>
      </fill>
    </dxf>
    <dxf>
      <font>
        <b/>
        <i val="0"/>
        <color theme="0"/>
      </font>
      <fill>
        <patternFill>
          <bgColor rgb="FFFF0000"/>
        </patternFill>
      </fill>
    </dxf>
    <dxf>
      <font>
        <color rgb="FFFF0000"/>
      </font>
    </dxf>
    <dxf>
      <font>
        <color rgb="FFFF0000"/>
      </font>
    </dxf>
    <dxf>
      <font>
        <color theme="0" tint="-0.24994659260841701"/>
      </font>
      <fill>
        <patternFill>
          <bgColor theme="0" tint="-0.24994659260841701"/>
        </patternFill>
      </fill>
    </dxf>
    <dxf>
      <font>
        <color auto="1"/>
      </font>
      <fill>
        <patternFill>
          <bgColor theme="0" tint="-0.24994659260841701"/>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color rgb="FFFF0000"/>
      </font>
    </dxf>
    <dxf>
      <font>
        <color rgb="FFFF0000"/>
      </font>
    </dxf>
    <dxf>
      <font>
        <b/>
        <i val="0"/>
        <color rgb="FFFFFFFF"/>
      </font>
      <fill>
        <patternFill>
          <bgColor rgb="FF009900"/>
        </patternFill>
      </fill>
    </dxf>
    <dxf>
      <font>
        <b/>
        <i val="0"/>
        <color rgb="FFFFFFFF"/>
      </font>
      <fill>
        <patternFill>
          <bgColor rgb="FFFF0000"/>
        </patternFill>
      </fill>
    </dxf>
    <dxf>
      <font>
        <b/>
        <i val="0"/>
        <color rgb="FFFFFFFF"/>
      </font>
      <fill>
        <patternFill>
          <bgColor rgb="FF009900"/>
        </patternFill>
      </fill>
    </dxf>
    <dxf>
      <font>
        <b/>
        <i val="0"/>
        <color rgb="FFFFFFFF"/>
      </font>
      <fill>
        <patternFill>
          <bgColor rgb="FFFF0000"/>
        </patternFill>
      </fill>
    </dxf>
    <dxf>
      <font>
        <b/>
        <i val="0"/>
        <color rgb="FFFFFFFF"/>
      </font>
      <fill>
        <patternFill>
          <bgColor rgb="FF009900"/>
        </patternFill>
      </fill>
    </dxf>
    <dxf>
      <font>
        <b/>
        <i val="0"/>
        <color rgb="FFFFFFFF"/>
      </font>
      <fill>
        <patternFill>
          <bgColor rgb="FFFF0000"/>
        </patternFill>
      </fill>
    </dxf>
    <dxf>
      <font>
        <b/>
        <i val="0"/>
        <color rgb="FFFFFFFF"/>
      </font>
      <fill>
        <patternFill>
          <bgColor rgb="FF009900"/>
        </patternFill>
      </fill>
    </dxf>
    <dxf>
      <font>
        <b/>
        <i val="0"/>
        <color rgb="FFFFFFFF"/>
      </font>
      <fill>
        <patternFill>
          <bgColor rgb="FFFF0000"/>
        </patternFill>
      </fill>
    </dxf>
    <dxf>
      <font>
        <b/>
        <i val="0"/>
        <color rgb="FFFFFFFF"/>
      </font>
      <fill>
        <patternFill>
          <bgColor rgb="FF009900"/>
        </patternFill>
      </fill>
    </dxf>
    <dxf>
      <font>
        <b/>
        <i val="0"/>
        <color rgb="FFFFFFFF"/>
      </font>
      <fill>
        <patternFill>
          <bgColor rgb="FFFF0000"/>
        </patternFill>
      </fill>
    </dxf>
    <dxf>
      <font>
        <b/>
        <i val="0"/>
        <color rgb="FFFFFFFF"/>
      </font>
      <fill>
        <patternFill>
          <bgColor rgb="FF009900"/>
        </patternFill>
      </fill>
    </dxf>
    <dxf>
      <font>
        <b/>
        <i val="0"/>
        <color rgb="FFFFFFFF"/>
      </font>
      <fill>
        <patternFill>
          <bgColor rgb="FFFF0000"/>
        </patternFill>
      </fill>
    </dxf>
    <dxf>
      <numFmt numFmtId="173" formatCode="&quot;$&quot;\ #,##0;[Red]&quot;$&quot;\ #,##0"/>
    </dxf>
    <dxf>
      <numFmt numFmtId="174" formatCode="&quot;USD&quot;\ #,##0"/>
    </dxf>
    <dxf>
      <numFmt numFmtId="173" formatCode="&quot;$&quot;\ #,##0;[Red]&quot;$&quot;\ #,##0"/>
    </dxf>
    <dxf>
      <numFmt numFmtId="174" formatCode="&quot;USD&quot;\ #,##0"/>
    </dxf>
    <dxf>
      <numFmt numFmtId="173" formatCode="&quot;$&quot;\ #,##0;[Red]&quot;$&quot;\ #,##0"/>
    </dxf>
    <dxf>
      <numFmt numFmtId="174" formatCode="&quot;USD&quot;\ #,##0"/>
    </dxf>
    <dxf>
      <numFmt numFmtId="173" formatCode="&quot;$&quot;\ #,##0;[Red]&quot;$&quot;\ #,##0"/>
    </dxf>
    <dxf>
      <numFmt numFmtId="174" formatCode="&quot;USD&quot;\ #,##0"/>
    </dxf>
    <dxf>
      <numFmt numFmtId="173" formatCode="&quot;$&quot;\ #,##0;[Red]&quot;$&quot;\ #,##0"/>
    </dxf>
    <dxf>
      <numFmt numFmtId="174" formatCode="&quot;USD&quot;\ #,##0"/>
    </dxf>
    <dxf>
      <numFmt numFmtId="173" formatCode="&quot;$&quot;\ #,##0;[Red]&quot;$&quot;\ #,##0"/>
    </dxf>
    <dxf>
      <numFmt numFmtId="174" formatCode="&quot;USD&quot;\ #,##0"/>
    </dxf>
    <dxf>
      <numFmt numFmtId="173" formatCode="&quot;$&quot;\ #,##0;[Red]&quot;$&quot;\ #,##0"/>
    </dxf>
    <dxf>
      <numFmt numFmtId="174" formatCode="&quot;USD&quot;\ #,##0"/>
    </dxf>
    <dxf>
      <numFmt numFmtId="173" formatCode="&quot;$&quot;\ #,##0;[Red]&quot;$&quot;\ #,##0"/>
    </dxf>
    <dxf>
      <numFmt numFmtId="174" formatCode="&quot;USD&quot;\ #,##0"/>
    </dxf>
    <dxf>
      <numFmt numFmtId="173" formatCode="&quot;$&quot;\ #,##0;[Red]&quot;$&quot;\ #,##0"/>
    </dxf>
    <dxf>
      <numFmt numFmtId="174" formatCode="&quot;USD&quot;\ #,##0"/>
    </dxf>
    <dxf>
      <numFmt numFmtId="173" formatCode="&quot;$&quot;\ #,##0;[Red]&quot;$&quot;\ #,##0"/>
    </dxf>
    <dxf>
      <numFmt numFmtId="174" formatCode="&quot;USD&quot;\ #,##0"/>
    </dxf>
    <dxf>
      <numFmt numFmtId="173" formatCode="&quot;$&quot;\ #,##0;[Red]&quot;$&quot;\ #,##0"/>
    </dxf>
    <dxf>
      <numFmt numFmtId="174" formatCode="&quot;USD&quot;\ #,##0"/>
    </dxf>
    <dxf>
      <numFmt numFmtId="173" formatCode="&quot;$&quot;\ #,##0;[Red]&quot;$&quot;\ #,##0"/>
    </dxf>
    <dxf>
      <numFmt numFmtId="174" formatCode="&quot;USD&quot;\ #,##0"/>
    </dxf>
    <dxf>
      <numFmt numFmtId="173" formatCode="&quot;$&quot;\ #,##0;[Red]&quot;$&quot;\ #,##0"/>
    </dxf>
    <dxf>
      <numFmt numFmtId="174" formatCode="&quot;USD&quot;\ #,##0"/>
    </dxf>
    <dxf>
      <numFmt numFmtId="173" formatCode="&quot;$&quot;\ #,##0;[Red]&quot;$&quot;\ #,##0"/>
    </dxf>
    <dxf>
      <numFmt numFmtId="174" formatCode="&quot;USD&quot;\ #,##0"/>
    </dxf>
    <dxf>
      <numFmt numFmtId="173" formatCode="&quot;$&quot;\ #,##0;[Red]&quot;$&quot;\ #,##0"/>
    </dxf>
    <dxf>
      <numFmt numFmtId="174" formatCode="&quot;USD&quot;\ #,##0"/>
    </dxf>
    <dxf>
      <numFmt numFmtId="173" formatCode="&quot;$&quot;\ #,##0;[Red]&quot;$&quot;\ #,##0"/>
    </dxf>
    <dxf>
      <numFmt numFmtId="174" formatCode="&quot;USD&quot;\ #,##0"/>
    </dxf>
    <dxf>
      <numFmt numFmtId="173" formatCode="&quot;$&quot;\ #,##0;[Red]&quot;$&quot;\ #,##0"/>
    </dxf>
    <dxf>
      <numFmt numFmtId="174" formatCode="&quot;USD&quot;\ #,##0"/>
    </dxf>
    <dxf>
      <numFmt numFmtId="173" formatCode="&quot;$&quot;\ #,##0;[Red]&quot;$&quot;\ #,##0"/>
    </dxf>
    <dxf>
      <numFmt numFmtId="174" formatCode="&quot;USD&quot;\ #,##0"/>
    </dxf>
    <dxf>
      <numFmt numFmtId="173" formatCode="&quot;$&quot;\ #,##0;[Red]&quot;$&quot;\ #,##0"/>
    </dxf>
    <dxf>
      <numFmt numFmtId="174" formatCode="&quot;USD&quot;\ #,##0"/>
    </dxf>
    <dxf>
      <numFmt numFmtId="173" formatCode="&quot;$&quot;\ #,##0;[Red]&quot;$&quot;\ #,##0"/>
    </dxf>
    <dxf>
      <numFmt numFmtId="174" formatCode="&quot;USD&quot;\ #,##0"/>
    </dxf>
    <dxf>
      <numFmt numFmtId="173" formatCode="&quot;$&quot;\ #,##0;[Red]&quot;$&quot;\ #,##0"/>
    </dxf>
    <dxf>
      <numFmt numFmtId="174" formatCode="&quot;USD&quot;\ #,##0"/>
    </dxf>
    <dxf>
      <numFmt numFmtId="173" formatCode="&quot;$&quot;\ #,##0;[Red]&quot;$&quot;\ #,##0"/>
    </dxf>
    <dxf>
      <numFmt numFmtId="174" formatCode="&quot;USD&quot;\ #,##0"/>
    </dxf>
    <dxf>
      <numFmt numFmtId="173" formatCode="&quot;$&quot;\ #,##0;[Red]&quot;$&quot;\ #,##0"/>
    </dxf>
    <dxf>
      <numFmt numFmtId="174" formatCode="&quot;USD&quot;\ #,##0"/>
    </dxf>
    <dxf>
      <numFmt numFmtId="173" formatCode="&quot;$&quot;\ #,##0;[Red]&quot;$&quot;\ #,##0"/>
    </dxf>
    <dxf>
      <numFmt numFmtId="174" formatCode="&quot;USD&quot;\ #,##0"/>
    </dxf>
    <dxf>
      <numFmt numFmtId="173" formatCode="&quot;$&quot;\ #,##0;[Red]&quot;$&quot;\ #,##0"/>
    </dxf>
    <dxf>
      <numFmt numFmtId="174" formatCode="&quot;USD&quot;\ #,##0"/>
    </dxf>
    <dxf>
      <numFmt numFmtId="173" formatCode="&quot;$&quot;\ #,##0;[Red]&quot;$&quot;\ #,##0"/>
    </dxf>
    <dxf>
      <numFmt numFmtId="174" formatCode="&quot;USD&quot;\ #,##0"/>
    </dxf>
    <dxf>
      <numFmt numFmtId="173" formatCode="&quot;$&quot;\ #,##0;[Red]&quot;$&quot;\ #,##0"/>
    </dxf>
    <dxf>
      <numFmt numFmtId="174" formatCode="&quot;USD&quot;\ #,##0"/>
    </dxf>
    <dxf>
      <numFmt numFmtId="173" formatCode="&quot;$&quot;\ #,##0;[Red]&quot;$&quot;\ #,##0"/>
    </dxf>
    <dxf>
      <numFmt numFmtId="174" formatCode="&quot;USD&quot;\ #,##0"/>
    </dxf>
    <dxf>
      <numFmt numFmtId="173" formatCode="&quot;$&quot;\ #,##0;[Red]&quot;$&quot;\ #,##0"/>
    </dxf>
    <dxf>
      <numFmt numFmtId="174" formatCode="&quot;USD&quot;\ #,##0"/>
    </dxf>
    <dxf>
      <numFmt numFmtId="173" formatCode="&quot;$&quot;\ #,##0;[Red]&quot;$&quot;\ #,##0"/>
    </dxf>
    <dxf>
      <numFmt numFmtId="174" formatCode="&quot;USD&quot;\ #,##0"/>
    </dxf>
    <dxf>
      <numFmt numFmtId="173" formatCode="&quot;$&quot;\ #,##0;[Red]&quot;$&quot;\ #,##0"/>
    </dxf>
    <dxf>
      <numFmt numFmtId="174" formatCode="&quot;USD&quot;\ #,##0"/>
    </dxf>
    <dxf>
      <numFmt numFmtId="173" formatCode="&quot;$&quot;\ #,##0;[Red]&quot;$&quot;\ #,##0"/>
    </dxf>
    <dxf>
      <numFmt numFmtId="174" formatCode="&quot;USD&quot;\ #,##0"/>
    </dxf>
    <dxf>
      <numFmt numFmtId="173" formatCode="&quot;$&quot;\ #,##0;[Red]&quot;$&quot;\ #,##0"/>
    </dxf>
    <dxf>
      <numFmt numFmtId="174" formatCode="&quot;USD&quot;\ #,##0"/>
    </dxf>
  </dxfs>
  <tableStyles count="0" defaultTableStyle="TableStyleMedium2" defaultPivotStyle="PivotStyleLight16"/>
  <colors>
    <mruColors>
      <color rgb="FF9BC2E6"/>
      <color rgb="FF00FFFF"/>
      <color rgb="FFCC0066"/>
      <color rgb="FFFF5050"/>
      <color rgb="FF66FF33"/>
      <color rgb="FF00AC66"/>
      <color rgb="FF990033"/>
      <color rgb="FF009900"/>
      <color rgb="FFFFFF99"/>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2.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9.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203651067931931"/>
          <c:y val="0.15802841937180667"/>
          <c:w val="0.49374523043633667"/>
          <c:h val="0.8372952423045027"/>
        </c:manualLayout>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1-E066-487D-A05B-B03D8270383B}"/>
              </c:ext>
            </c:extLst>
          </c:dPt>
          <c:dPt>
            <c:idx val="1"/>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3-E066-487D-A05B-B03D8270383B}"/>
              </c:ext>
            </c:extLst>
          </c:dPt>
          <c:dPt>
            <c:idx val="2"/>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5-E066-487D-A05B-B03D8270383B}"/>
              </c:ext>
            </c:extLst>
          </c:dPt>
          <c:dPt>
            <c:idx val="3"/>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7-E066-487D-A05B-B03D8270383B}"/>
              </c:ext>
            </c:extLst>
          </c:dPt>
          <c:dPt>
            <c:idx val="4"/>
            <c:bubble3D val="0"/>
            <c:spPr>
              <a:solidFill>
                <a:srgbClr val="FFFF00"/>
              </a:solidFill>
              <a:ln w="19050">
                <a:solidFill>
                  <a:schemeClr val="lt1"/>
                </a:solidFill>
              </a:ln>
              <a:effectLst/>
            </c:spPr>
            <c:extLst>
              <c:ext xmlns:c16="http://schemas.microsoft.com/office/drawing/2014/chart" uri="{C3380CC4-5D6E-409C-BE32-E72D297353CC}">
                <c16:uniqueId val="{00000009-E066-487D-A05B-B03D8270383B}"/>
              </c:ext>
            </c:extLst>
          </c:dPt>
          <c:dPt>
            <c:idx val="5"/>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B-E066-487D-A05B-B03D8270383B}"/>
              </c:ext>
            </c:extLst>
          </c:dPt>
          <c:dPt>
            <c:idx val="6"/>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D-E066-487D-A05B-B03D8270383B}"/>
              </c:ext>
            </c:extLst>
          </c:dPt>
          <c:dPt>
            <c:idx val="7"/>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F-E066-487D-A05B-B03D8270383B}"/>
              </c:ext>
            </c:extLst>
          </c:dPt>
          <c:dPt>
            <c:idx val="8"/>
            <c:bubble3D val="0"/>
            <c:spPr>
              <a:solidFill>
                <a:srgbClr val="00B050"/>
              </a:solidFill>
              <a:ln w="19050">
                <a:solidFill>
                  <a:schemeClr val="lt1"/>
                </a:solidFill>
              </a:ln>
              <a:effectLst/>
            </c:spPr>
            <c:extLst>
              <c:ext xmlns:c16="http://schemas.microsoft.com/office/drawing/2014/chart" uri="{C3380CC4-5D6E-409C-BE32-E72D297353CC}">
                <c16:uniqueId val="{00000011-E066-487D-A05B-B03D8270383B}"/>
              </c:ext>
            </c:extLst>
          </c:dPt>
          <c:dPt>
            <c:idx val="9"/>
            <c:bubble3D val="0"/>
            <c:spPr>
              <a:noFill/>
              <a:ln w="19050">
                <a:noFill/>
              </a:ln>
              <a:effectLst/>
            </c:spPr>
            <c:extLst>
              <c:ext xmlns:c16="http://schemas.microsoft.com/office/drawing/2014/chart" uri="{C3380CC4-5D6E-409C-BE32-E72D297353CC}">
                <c16:uniqueId val="{00000013-E066-487D-A05B-B03D8270383B}"/>
              </c:ext>
            </c:extLst>
          </c:dPt>
          <c:val>
            <c:numRef>
              <c:f>Tablero!$AO$9:$AO$18</c:f>
              <c:numCache>
                <c:formatCode>General</c:formatCode>
                <c:ptCount val="10"/>
                <c:pt idx="0">
                  <c:v>1</c:v>
                </c:pt>
                <c:pt idx="1">
                  <c:v>1</c:v>
                </c:pt>
                <c:pt idx="2">
                  <c:v>1</c:v>
                </c:pt>
                <c:pt idx="3">
                  <c:v>1</c:v>
                </c:pt>
                <c:pt idx="4">
                  <c:v>1</c:v>
                </c:pt>
                <c:pt idx="5">
                  <c:v>1</c:v>
                </c:pt>
                <c:pt idx="6">
                  <c:v>1</c:v>
                </c:pt>
                <c:pt idx="7">
                  <c:v>1</c:v>
                </c:pt>
                <c:pt idx="8">
                  <c:v>1</c:v>
                </c:pt>
                <c:pt idx="9">
                  <c:v>9</c:v>
                </c:pt>
              </c:numCache>
            </c:numRef>
          </c:val>
          <c:extLst>
            <c:ext xmlns:c16="http://schemas.microsoft.com/office/drawing/2014/chart" uri="{C3380CC4-5D6E-409C-BE32-E72D297353CC}">
              <c16:uniqueId val="{00000014-E066-487D-A05B-B03D8270383B}"/>
            </c:ext>
          </c:extLst>
        </c:ser>
        <c:dLbls>
          <c:showLegendKey val="0"/>
          <c:showVal val="0"/>
          <c:showCatName val="0"/>
          <c:showSerName val="0"/>
          <c:showPercent val="0"/>
          <c:showBubbleSize val="0"/>
          <c:showLeaderLines val="0"/>
        </c:dLbls>
        <c:firstSliceAng val="270"/>
        <c:holeSize val="60"/>
      </c:doughnutChart>
      <c:scatterChart>
        <c:scatterStyle val="smoothMarker"/>
        <c:varyColors val="0"/>
        <c:ser>
          <c:idx val="1"/>
          <c:order val="1"/>
          <c:tx>
            <c:v>PUNTOS</c:v>
          </c:tx>
          <c:spPr>
            <a:ln w="38100">
              <a:solidFill>
                <a:schemeClr val="tx1"/>
              </a:solidFill>
              <a:headEnd type="oval"/>
              <a:tailEnd type="triangle"/>
            </a:ln>
            <a:effectLst/>
          </c:spPr>
          <c:marker>
            <c:symbol val="circle"/>
            <c:size val="5"/>
            <c:spPr>
              <a:noFill/>
              <a:ln w="9525">
                <a:noFill/>
              </a:ln>
              <a:effectLst/>
            </c:spPr>
          </c:marker>
          <c:xVal>
            <c:numRef>
              <c:f>Tablero!$AV$14:$AV$15</c:f>
              <c:numCache>
                <c:formatCode>General</c:formatCode>
                <c:ptCount val="2"/>
                <c:pt idx="0">
                  <c:v>0</c:v>
                </c:pt>
                <c:pt idx="1">
                  <c:v>-1</c:v>
                </c:pt>
              </c:numCache>
            </c:numRef>
          </c:xVal>
          <c:yVal>
            <c:numRef>
              <c:f>Tablero!$AW$14:$AW$15</c:f>
              <c:numCache>
                <c:formatCode>General</c:formatCode>
                <c:ptCount val="2"/>
                <c:pt idx="0">
                  <c:v>0</c:v>
                </c:pt>
                <c:pt idx="1">
                  <c:v>0</c:v>
                </c:pt>
              </c:numCache>
            </c:numRef>
          </c:yVal>
          <c:smooth val="1"/>
          <c:extLst>
            <c:ext xmlns:c16="http://schemas.microsoft.com/office/drawing/2014/chart" uri="{C3380CC4-5D6E-409C-BE32-E72D297353CC}">
              <c16:uniqueId val="{00000015-E066-487D-A05B-B03D8270383B}"/>
            </c:ext>
          </c:extLst>
        </c:ser>
        <c:ser>
          <c:idx val="2"/>
          <c:order val="2"/>
          <c:tx>
            <c:v>PUNTOS2</c:v>
          </c:tx>
          <c:spPr>
            <a:ln w="38100">
              <a:solidFill>
                <a:schemeClr val="tx1"/>
              </a:solidFill>
              <a:prstDash val="sysDash"/>
              <a:headEnd type="oval"/>
              <a:tailEnd type="triangle"/>
            </a:ln>
          </c:spPr>
          <c:marker>
            <c:spPr>
              <a:noFill/>
              <a:ln>
                <a:noFill/>
              </a:ln>
            </c:spPr>
          </c:marker>
          <c:xVal>
            <c:numRef>
              <c:f>Tablero!$AV$30:$AV$31</c:f>
              <c:numCache>
                <c:formatCode>General</c:formatCode>
                <c:ptCount val="2"/>
                <c:pt idx="0">
                  <c:v>0</c:v>
                </c:pt>
                <c:pt idx="1">
                  <c:v>1</c:v>
                </c:pt>
              </c:numCache>
            </c:numRef>
          </c:xVal>
          <c:yVal>
            <c:numRef>
              <c:f>Tablero!$AW$30:$AW$31</c:f>
              <c:numCache>
                <c:formatCode>General</c:formatCode>
                <c:ptCount val="2"/>
                <c:pt idx="0">
                  <c:v>0</c:v>
                </c:pt>
                <c:pt idx="1">
                  <c:v>1.22514845490862E-16</c:v>
                </c:pt>
              </c:numCache>
            </c:numRef>
          </c:yVal>
          <c:smooth val="1"/>
          <c:extLst>
            <c:ext xmlns:c16="http://schemas.microsoft.com/office/drawing/2014/chart" uri="{C3380CC4-5D6E-409C-BE32-E72D297353CC}">
              <c16:uniqueId val="{00000014-2E90-45DB-9790-70C4A218438E}"/>
            </c:ext>
          </c:extLst>
        </c:ser>
        <c:dLbls>
          <c:showLegendKey val="0"/>
          <c:showVal val="0"/>
          <c:showCatName val="0"/>
          <c:showSerName val="0"/>
          <c:showPercent val="0"/>
          <c:showBubbleSize val="0"/>
        </c:dLbls>
        <c:axId val="373770328"/>
        <c:axId val="373775248"/>
      </c:scatterChart>
      <c:valAx>
        <c:axId val="373775248"/>
        <c:scaling>
          <c:orientation val="minMax"/>
          <c:max val="1"/>
          <c:min val="-1"/>
        </c:scaling>
        <c:delete val="1"/>
        <c:axPos val="l"/>
        <c:numFmt formatCode="General" sourceLinked="1"/>
        <c:majorTickMark val="out"/>
        <c:minorTickMark val="none"/>
        <c:tickLblPos val="nextTo"/>
        <c:crossAx val="373770328"/>
        <c:crosses val="autoZero"/>
        <c:crossBetween val="midCat"/>
      </c:valAx>
      <c:valAx>
        <c:axId val="373770328"/>
        <c:scaling>
          <c:orientation val="minMax"/>
          <c:max val="1"/>
          <c:min val="-1"/>
        </c:scaling>
        <c:delete val="1"/>
        <c:axPos val="b"/>
        <c:numFmt formatCode="General" sourceLinked="1"/>
        <c:majorTickMark val="out"/>
        <c:minorTickMark val="none"/>
        <c:tickLblPos val="nextTo"/>
        <c:crossAx val="373775248"/>
        <c:crosses val="autoZero"/>
        <c:crossBetween val="midCat"/>
      </c:valAx>
      <c:spPr>
        <a:noFill/>
        <a:ln>
          <a:noFill/>
        </a:ln>
        <a:effectLst>
          <a:glow>
            <a:schemeClr val="accent1"/>
          </a:glow>
        </a:effectLst>
      </c:spPr>
    </c:plotArea>
    <c:plotVisOnly val="1"/>
    <c:dispBlanksAs val="gap"/>
    <c:showDLblsOverMax val="0"/>
  </c:chart>
  <c:spPr>
    <a:noFill/>
    <a:ln w="9525" cap="flat" cmpd="sng" algn="ctr">
      <a:noFill/>
      <a:round/>
    </a:ln>
    <a:effectLst/>
  </c:spPr>
  <c:txPr>
    <a:bodyPr/>
    <a:lstStyle/>
    <a:p>
      <a:pPr>
        <a:defRPr/>
      </a:pPr>
      <a:endParaRPr lang="es-A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203651067931931"/>
          <c:y val="0.15802841937180667"/>
          <c:w val="0.49374523043633667"/>
          <c:h val="0.8372952423045027"/>
        </c:manualLayout>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1-6CE4-47F1-A88A-8EF5C4EAF711}"/>
              </c:ext>
            </c:extLst>
          </c:dPt>
          <c:dPt>
            <c:idx val="1"/>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03-6CE4-47F1-A88A-8EF5C4EAF711}"/>
              </c:ext>
            </c:extLst>
          </c:dPt>
          <c:dPt>
            <c:idx val="2"/>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05-6CE4-47F1-A88A-8EF5C4EAF711}"/>
              </c:ext>
            </c:extLst>
          </c:dPt>
          <c:dPt>
            <c:idx val="3"/>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07-6CE4-47F1-A88A-8EF5C4EAF711}"/>
              </c:ext>
            </c:extLst>
          </c:dPt>
          <c:dPt>
            <c:idx val="4"/>
            <c:bubble3D val="0"/>
            <c:spPr>
              <a:solidFill>
                <a:srgbClr val="FFFF00"/>
              </a:solidFill>
              <a:ln w="19050">
                <a:solidFill>
                  <a:schemeClr val="lt1"/>
                </a:solidFill>
              </a:ln>
              <a:effectLst/>
            </c:spPr>
            <c:extLst>
              <c:ext xmlns:c16="http://schemas.microsoft.com/office/drawing/2014/chart" uri="{C3380CC4-5D6E-409C-BE32-E72D297353CC}">
                <c16:uniqueId val="{00000009-6CE4-47F1-A88A-8EF5C4EAF711}"/>
              </c:ext>
            </c:extLst>
          </c:dPt>
          <c:dPt>
            <c:idx val="5"/>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0B-6CE4-47F1-A88A-8EF5C4EAF711}"/>
              </c:ext>
            </c:extLst>
          </c:dPt>
          <c:dPt>
            <c:idx val="6"/>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0D-6CE4-47F1-A88A-8EF5C4EAF711}"/>
              </c:ext>
            </c:extLst>
          </c:dPt>
          <c:dPt>
            <c:idx val="7"/>
            <c:bubble3D val="0"/>
            <c:spPr>
              <a:solidFill>
                <a:schemeClr val="bg2">
                  <a:lumMod val="75000"/>
                </a:schemeClr>
              </a:solidFill>
              <a:ln w="19050">
                <a:solidFill>
                  <a:schemeClr val="bg1"/>
                </a:solidFill>
              </a:ln>
              <a:effectLst/>
            </c:spPr>
            <c:extLst>
              <c:ext xmlns:c16="http://schemas.microsoft.com/office/drawing/2014/chart" uri="{C3380CC4-5D6E-409C-BE32-E72D297353CC}">
                <c16:uniqueId val="{0000000F-6CE4-47F1-A88A-8EF5C4EAF711}"/>
              </c:ext>
            </c:extLst>
          </c:dPt>
          <c:dPt>
            <c:idx val="8"/>
            <c:bubble3D val="0"/>
            <c:spPr>
              <a:solidFill>
                <a:srgbClr val="00B050"/>
              </a:solidFill>
              <a:ln w="19050">
                <a:solidFill>
                  <a:schemeClr val="bg1"/>
                </a:solidFill>
              </a:ln>
              <a:effectLst/>
            </c:spPr>
            <c:extLst>
              <c:ext xmlns:c16="http://schemas.microsoft.com/office/drawing/2014/chart" uri="{C3380CC4-5D6E-409C-BE32-E72D297353CC}">
                <c16:uniqueId val="{00000011-6CE4-47F1-A88A-8EF5C4EAF711}"/>
              </c:ext>
            </c:extLst>
          </c:dPt>
          <c:dPt>
            <c:idx val="9"/>
            <c:bubble3D val="0"/>
            <c:spPr>
              <a:noFill/>
              <a:ln w="19050">
                <a:noFill/>
              </a:ln>
              <a:effectLst/>
            </c:spPr>
            <c:extLst>
              <c:ext xmlns:c16="http://schemas.microsoft.com/office/drawing/2014/chart" uri="{C3380CC4-5D6E-409C-BE32-E72D297353CC}">
                <c16:uniqueId val="{00000013-6CE4-47F1-A88A-8EF5C4EAF711}"/>
              </c:ext>
            </c:extLst>
          </c:dPt>
          <c:dPt>
            <c:idx val="10"/>
            <c:bubble3D val="0"/>
            <c:spPr>
              <a:solidFill>
                <a:srgbClr val="00B050"/>
              </a:solidFill>
              <a:ln>
                <a:solidFill>
                  <a:schemeClr val="bg1"/>
                </a:solidFill>
              </a:ln>
            </c:spPr>
            <c:extLst>
              <c:ext xmlns:c16="http://schemas.microsoft.com/office/drawing/2014/chart" uri="{C3380CC4-5D6E-409C-BE32-E72D297353CC}">
                <c16:uniqueId val="{0000001E-1542-46B7-8BFD-4DB875A2C341}"/>
              </c:ext>
            </c:extLst>
          </c:dPt>
          <c:dPt>
            <c:idx val="11"/>
            <c:bubble3D val="0"/>
            <c:spPr>
              <a:solidFill>
                <a:srgbClr val="00B050"/>
              </a:solidFill>
              <a:ln>
                <a:solidFill>
                  <a:schemeClr val="bg1"/>
                </a:solidFill>
              </a:ln>
            </c:spPr>
            <c:extLst>
              <c:ext xmlns:c16="http://schemas.microsoft.com/office/drawing/2014/chart" uri="{C3380CC4-5D6E-409C-BE32-E72D297353CC}">
                <c16:uniqueId val="{0000001D-1542-46B7-8BFD-4DB875A2C341}"/>
              </c:ext>
            </c:extLst>
          </c:dPt>
          <c:dPt>
            <c:idx val="12"/>
            <c:bubble3D val="0"/>
            <c:spPr>
              <a:solidFill>
                <a:srgbClr val="00B050"/>
              </a:solidFill>
              <a:ln>
                <a:solidFill>
                  <a:schemeClr val="bg1"/>
                </a:solidFill>
              </a:ln>
            </c:spPr>
            <c:extLst>
              <c:ext xmlns:c16="http://schemas.microsoft.com/office/drawing/2014/chart" uri="{C3380CC4-5D6E-409C-BE32-E72D297353CC}">
                <c16:uniqueId val="{0000001C-1542-46B7-8BFD-4DB875A2C341}"/>
              </c:ext>
            </c:extLst>
          </c:dPt>
          <c:dPt>
            <c:idx val="13"/>
            <c:bubble3D val="0"/>
            <c:spPr>
              <a:solidFill>
                <a:srgbClr val="00B050"/>
              </a:solidFill>
              <a:ln>
                <a:solidFill>
                  <a:schemeClr val="bg1"/>
                </a:solidFill>
              </a:ln>
            </c:spPr>
            <c:extLst>
              <c:ext xmlns:c16="http://schemas.microsoft.com/office/drawing/2014/chart" uri="{C3380CC4-5D6E-409C-BE32-E72D297353CC}">
                <c16:uniqueId val="{0000001B-1542-46B7-8BFD-4DB875A2C341}"/>
              </c:ext>
            </c:extLst>
          </c:dPt>
          <c:dPt>
            <c:idx val="14"/>
            <c:bubble3D val="0"/>
            <c:spPr>
              <a:solidFill>
                <a:srgbClr val="00B050"/>
              </a:solidFill>
              <a:ln>
                <a:solidFill>
                  <a:schemeClr val="bg1"/>
                </a:solidFill>
              </a:ln>
            </c:spPr>
            <c:extLst>
              <c:ext xmlns:c16="http://schemas.microsoft.com/office/drawing/2014/chart" uri="{C3380CC4-5D6E-409C-BE32-E72D297353CC}">
                <c16:uniqueId val="{0000001A-1542-46B7-8BFD-4DB875A2C341}"/>
              </c:ext>
            </c:extLst>
          </c:dPt>
          <c:dPt>
            <c:idx val="15"/>
            <c:bubble3D val="0"/>
            <c:spPr>
              <a:solidFill>
                <a:srgbClr val="00B050"/>
              </a:solidFill>
              <a:ln>
                <a:solidFill>
                  <a:schemeClr val="bg1"/>
                </a:solidFill>
              </a:ln>
            </c:spPr>
            <c:extLst>
              <c:ext xmlns:c16="http://schemas.microsoft.com/office/drawing/2014/chart" uri="{C3380CC4-5D6E-409C-BE32-E72D297353CC}">
                <c16:uniqueId val="{00000019-1542-46B7-8BFD-4DB875A2C341}"/>
              </c:ext>
            </c:extLst>
          </c:dPt>
          <c:dPt>
            <c:idx val="16"/>
            <c:bubble3D val="0"/>
            <c:spPr>
              <a:solidFill>
                <a:srgbClr val="00B050"/>
              </a:solidFill>
              <a:ln>
                <a:solidFill>
                  <a:schemeClr val="bg1"/>
                </a:solidFill>
              </a:ln>
            </c:spPr>
            <c:extLst>
              <c:ext xmlns:c16="http://schemas.microsoft.com/office/drawing/2014/chart" uri="{C3380CC4-5D6E-409C-BE32-E72D297353CC}">
                <c16:uniqueId val="{00000018-1542-46B7-8BFD-4DB875A2C341}"/>
              </c:ext>
            </c:extLst>
          </c:dPt>
          <c:dPt>
            <c:idx val="17"/>
            <c:bubble3D val="0"/>
            <c:spPr>
              <a:solidFill>
                <a:srgbClr val="00B050"/>
              </a:solidFill>
              <a:ln>
                <a:solidFill>
                  <a:schemeClr val="bg1"/>
                </a:solidFill>
              </a:ln>
            </c:spPr>
            <c:extLst>
              <c:ext xmlns:c16="http://schemas.microsoft.com/office/drawing/2014/chart" uri="{C3380CC4-5D6E-409C-BE32-E72D297353CC}">
                <c16:uniqueId val="{00000017-1542-46B7-8BFD-4DB875A2C341}"/>
              </c:ext>
            </c:extLst>
          </c:dPt>
          <c:dPt>
            <c:idx val="18"/>
            <c:bubble3D val="0"/>
            <c:spPr>
              <a:solidFill>
                <a:srgbClr val="00B050"/>
              </a:solidFill>
              <a:ln>
                <a:solidFill>
                  <a:schemeClr val="bg1"/>
                </a:solidFill>
              </a:ln>
            </c:spPr>
            <c:extLst>
              <c:ext xmlns:c16="http://schemas.microsoft.com/office/drawing/2014/chart" uri="{C3380CC4-5D6E-409C-BE32-E72D297353CC}">
                <c16:uniqueId val="{00000016-1542-46B7-8BFD-4DB875A2C341}"/>
              </c:ext>
            </c:extLst>
          </c:dPt>
          <c:dPt>
            <c:idx val="19"/>
            <c:bubble3D val="0"/>
            <c:spPr>
              <a:noFill/>
              <a:ln>
                <a:noFill/>
              </a:ln>
            </c:spPr>
            <c:extLst>
              <c:ext xmlns:c16="http://schemas.microsoft.com/office/drawing/2014/chart" uri="{C3380CC4-5D6E-409C-BE32-E72D297353CC}">
                <c16:uniqueId val="{00000015-1542-46B7-8BFD-4DB875A2C341}"/>
              </c:ext>
            </c:extLst>
          </c:dPt>
          <c:dLbls>
            <c:dLbl>
              <c:idx val="0"/>
              <c:delete val="1"/>
              <c:extLst>
                <c:ext xmlns:c15="http://schemas.microsoft.com/office/drawing/2012/chart" uri="{CE6537A1-D6FC-4f65-9D91-7224C49458BB}"/>
                <c:ext xmlns:c16="http://schemas.microsoft.com/office/drawing/2014/chart" uri="{C3380CC4-5D6E-409C-BE32-E72D297353CC}">
                  <c16:uniqueId val="{00000001-6CE4-47F1-A88A-8EF5C4EAF711}"/>
                </c:ext>
              </c:extLst>
            </c:dLbl>
            <c:dLbl>
              <c:idx val="1"/>
              <c:delete val="1"/>
              <c:extLst>
                <c:ext xmlns:c15="http://schemas.microsoft.com/office/drawing/2012/chart" uri="{CE6537A1-D6FC-4f65-9D91-7224C49458BB}"/>
                <c:ext xmlns:c16="http://schemas.microsoft.com/office/drawing/2014/chart" uri="{C3380CC4-5D6E-409C-BE32-E72D297353CC}">
                  <c16:uniqueId val="{00000003-6CE4-47F1-A88A-8EF5C4EAF711}"/>
                </c:ext>
              </c:extLst>
            </c:dLbl>
            <c:dLbl>
              <c:idx val="2"/>
              <c:delete val="1"/>
              <c:extLst>
                <c:ext xmlns:c15="http://schemas.microsoft.com/office/drawing/2012/chart" uri="{CE6537A1-D6FC-4f65-9D91-7224C49458BB}"/>
                <c:ext xmlns:c16="http://schemas.microsoft.com/office/drawing/2014/chart" uri="{C3380CC4-5D6E-409C-BE32-E72D297353CC}">
                  <c16:uniqueId val="{00000005-6CE4-47F1-A88A-8EF5C4EAF711}"/>
                </c:ext>
              </c:extLst>
            </c:dLbl>
            <c:dLbl>
              <c:idx val="3"/>
              <c:delete val="1"/>
              <c:extLst>
                <c:ext xmlns:c15="http://schemas.microsoft.com/office/drawing/2012/chart" uri="{CE6537A1-D6FC-4f65-9D91-7224C49458BB}"/>
                <c:ext xmlns:c16="http://schemas.microsoft.com/office/drawing/2014/chart" uri="{C3380CC4-5D6E-409C-BE32-E72D297353CC}">
                  <c16:uniqueId val="{00000007-6CE4-47F1-A88A-8EF5C4EAF711}"/>
                </c:ext>
              </c:extLst>
            </c:dLbl>
            <c:dLbl>
              <c:idx val="4"/>
              <c:delete val="1"/>
              <c:extLst>
                <c:ext xmlns:c15="http://schemas.microsoft.com/office/drawing/2012/chart" uri="{CE6537A1-D6FC-4f65-9D91-7224C49458BB}"/>
                <c:ext xmlns:c16="http://schemas.microsoft.com/office/drawing/2014/chart" uri="{C3380CC4-5D6E-409C-BE32-E72D297353CC}">
                  <c16:uniqueId val="{00000009-6CE4-47F1-A88A-8EF5C4EAF711}"/>
                </c:ext>
              </c:extLst>
            </c:dLbl>
            <c:dLbl>
              <c:idx val="5"/>
              <c:delete val="1"/>
              <c:extLst>
                <c:ext xmlns:c15="http://schemas.microsoft.com/office/drawing/2012/chart" uri="{CE6537A1-D6FC-4f65-9D91-7224C49458BB}"/>
                <c:ext xmlns:c16="http://schemas.microsoft.com/office/drawing/2014/chart" uri="{C3380CC4-5D6E-409C-BE32-E72D297353CC}">
                  <c16:uniqueId val="{0000000B-6CE4-47F1-A88A-8EF5C4EAF711}"/>
                </c:ext>
              </c:extLst>
            </c:dLbl>
            <c:dLbl>
              <c:idx val="6"/>
              <c:delete val="1"/>
              <c:extLst>
                <c:ext xmlns:c15="http://schemas.microsoft.com/office/drawing/2012/chart" uri="{CE6537A1-D6FC-4f65-9D91-7224C49458BB}"/>
                <c:ext xmlns:c16="http://schemas.microsoft.com/office/drawing/2014/chart" uri="{C3380CC4-5D6E-409C-BE32-E72D297353CC}">
                  <c16:uniqueId val="{0000000D-6CE4-47F1-A88A-8EF5C4EAF711}"/>
                </c:ext>
              </c:extLst>
            </c:dLbl>
            <c:dLbl>
              <c:idx val="7"/>
              <c:delete val="1"/>
              <c:extLst>
                <c:ext xmlns:c15="http://schemas.microsoft.com/office/drawing/2012/chart" uri="{CE6537A1-D6FC-4f65-9D91-7224C49458BB}"/>
                <c:ext xmlns:c16="http://schemas.microsoft.com/office/drawing/2014/chart" uri="{C3380CC4-5D6E-409C-BE32-E72D297353CC}">
                  <c16:uniqueId val="{0000000F-6CE4-47F1-A88A-8EF5C4EAF711}"/>
                </c:ext>
              </c:extLst>
            </c:dLbl>
            <c:dLbl>
              <c:idx val="8"/>
              <c:delete val="1"/>
              <c:extLst>
                <c:ext xmlns:c15="http://schemas.microsoft.com/office/drawing/2012/chart" uri="{CE6537A1-D6FC-4f65-9D91-7224C49458BB}"/>
                <c:ext xmlns:c16="http://schemas.microsoft.com/office/drawing/2014/chart" uri="{C3380CC4-5D6E-409C-BE32-E72D297353CC}">
                  <c16:uniqueId val="{00000011-6CE4-47F1-A88A-8EF5C4EAF711}"/>
                </c:ext>
              </c:extLst>
            </c:dLbl>
            <c:dLbl>
              <c:idx val="9"/>
              <c:delete val="1"/>
              <c:extLst>
                <c:ext xmlns:c15="http://schemas.microsoft.com/office/drawing/2012/chart" uri="{CE6537A1-D6FC-4f65-9D91-7224C49458BB}"/>
                <c:ext xmlns:c16="http://schemas.microsoft.com/office/drawing/2014/chart" uri="{C3380CC4-5D6E-409C-BE32-E72D297353CC}">
                  <c16:uniqueId val="{00000013-6CE4-47F1-A88A-8EF5C4EAF711}"/>
                </c:ext>
              </c:extLst>
            </c:dLbl>
            <c:dLbl>
              <c:idx val="10"/>
              <c:delete val="1"/>
              <c:extLst>
                <c:ext xmlns:c15="http://schemas.microsoft.com/office/drawing/2012/chart" uri="{CE6537A1-D6FC-4f65-9D91-7224C49458BB}"/>
                <c:ext xmlns:c16="http://schemas.microsoft.com/office/drawing/2014/chart" uri="{C3380CC4-5D6E-409C-BE32-E72D297353CC}">
                  <c16:uniqueId val="{0000001E-1542-46B7-8BFD-4DB875A2C341}"/>
                </c:ext>
              </c:extLst>
            </c:dLbl>
            <c:dLbl>
              <c:idx val="11"/>
              <c:delete val="1"/>
              <c:extLst>
                <c:ext xmlns:c15="http://schemas.microsoft.com/office/drawing/2012/chart" uri="{CE6537A1-D6FC-4f65-9D91-7224C49458BB}"/>
                <c:ext xmlns:c16="http://schemas.microsoft.com/office/drawing/2014/chart" uri="{C3380CC4-5D6E-409C-BE32-E72D297353CC}">
                  <c16:uniqueId val="{0000001D-1542-46B7-8BFD-4DB875A2C341}"/>
                </c:ext>
              </c:extLst>
            </c:dLbl>
            <c:dLbl>
              <c:idx val="12"/>
              <c:delete val="1"/>
              <c:extLst>
                <c:ext xmlns:c15="http://schemas.microsoft.com/office/drawing/2012/chart" uri="{CE6537A1-D6FC-4f65-9D91-7224C49458BB}"/>
                <c:ext xmlns:c16="http://schemas.microsoft.com/office/drawing/2014/chart" uri="{C3380CC4-5D6E-409C-BE32-E72D297353CC}">
                  <c16:uniqueId val="{0000001C-1542-46B7-8BFD-4DB875A2C341}"/>
                </c:ext>
              </c:extLst>
            </c:dLbl>
            <c:dLbl>
              <c:idx val="13"/>
              <c:delete val="1"/>
              <c:extLst>
                <c:ext xmlns:c15="http://schemas.microsoft.com/office/drawing/2012/chart" uri="{CE6537A1-D6FC-4f65-9D91-7224C49458BB}"/>
                <c:ext xmlns:c16="http://schemas.microsoft.com/office/drawing/2014/chart" uri="{C3380CC4-5D6E-409C-BE32-E72D297353CC}">
                  <c16:uniqueId val="{0000001B-1542-46B7-8BFD-4DB875A2C341}"/>
                </c:ext>
              </c:extLst>
            </c:dLbl>
            <c:dLbl>
              <c:idx val="14"/>
              <c:delete val="1"/>
              <c:extLst>
                <c:ext xmlns:c15="http://schemas.microsoft.com/office/drawing/2012/chart" uri="{CE6537A1-D6FC-4f65-9D91-7224C49458BB}"/>
                <c:ext xmlns:c16="http://schemas.microsoft.com/office/drawing/2014/chart" uri="{C3380CC4-5D6E-409C-BE32-E72D297353CC}">
                  <c16:uniqueId val="{0000001A-1542-46B7-8BFD-4DB875A2C341}"/>
                </c:ext>
              </c:extLst>
            </c:dLbl>
            <c:dLbl>
              <c:idx val="15"/>
              <c:delete val="1"/>
              <c:extLst>
                <c:ext xmlns:c15="http://schemas.microsoft.com/office/drawing/2012/chart" uri="{CE6537A1-D6FC-4f65-9D91-7224C49458BB}"/>
                <c:ext xmlns:c16="http://schemas.microsoft.com/office/drawing/2014/chart" uri="{C3380CC4-5D6E-409C-BE32-E72D297353CC}">
                  <c16:uniqueId val="{00000019-1542-46B7-8BFD-4DB875A2C341}"/>
                </c:ext>
              </c:extLst>
            </c:dLbl>
            <c:dLbl>
              <c:idx val="16"/>
              <c:delete val="1"/>
              <c:extLst>
                <c:ext xmlns:c15="http://schemas.microsoft.com/office/drawing/2012/chart" uri="{CE6537A1-D6FC-4f65-9D91-7224C49458BB}"/>
                <c:ext xmlns:c16="http://schemas.microsoft.com/office/drawing/2014/chart" uri="{C3380CC4-5D6E-409C-BE32-E72D297353CC}">
                  <c16:uniqueId val="{00000018-1542-46B7-8BFD-4DB875A2C341}"/>
                </c:ext>
              </c:extLst>
            </c:dLbl>
            <c:dLbl>
              <c:idx val="17"/>
              <c:delete val="1"/>
              <c:extLst>
                <c:ext xmlns:c15="http://schemas.microsoft.com/office/drawing/2012/chart" uri="{CE6537A1-D6FC-4f65-9D91-7224C49458BB}"/>
                <c:ext xmlns:c16="http://schemas.microsoft.com/office/drawing/2014/chart" uri="{C3380CC4-5D6E-409C-BE32-E72D297353CC}">
                  <c16:uniqueId val="{00000017-1542-46B7-8BFD-4DB875A2C341}"/>
                </c:ext>
              </c:extLst>
            </c:dLbl>
            <c:dLbl>
              <c:idx val="18"/>
              <c:delete val="1"/>
              <c:extLst>
                <c:ext xmlns:c15="http://schemas.microsoft.com/office/drawing/2012/chart" uri="{CE6537A1-D6FC-4f65-9D91-7224C49458BB}"/>
                <c:ext xmlns:c16="http://schemas.microsoft.com/office/drawing/2014/chart" uri="{C3380CC4-5D6E-409C-BE32-E72D297353CC}">
                  <c16:uniqueId val="{00000016-1542-46B7-8BFD-4DB875A2C341}"/>
                </c:ext>
              </c:extLst>
            </c:dLbl>
            <c:spPr>
              <a:noFill/>
              <a:ln>
                <a:noFill/>
              </a:ln>
              <a:effectLst/>
            </c:spPr>
            <c:showLegendKey val="0"/>
            <c:showVal val="0"/>
            <c:showCatName val="0"/>
            <c:showSerName val="0"/>
            <c:showPercent val="0"/>
            <c:showBubbleSize val="0"/>
            <c:separator> </c:separator>
            <c:showLeaderLines val="0"/>
            <c:extLst>
              <c:ext xmlns:c15="http://schemas.microsoft.com/office/drawing/2012/chart" uri="{CE6537A1-D6FC-4f65-9D91-7224C49458BB}">
                <c15:showDataLabelsRange val="1"/>
              </c:ext>
            </c:extLst>
          </c:dLbls>
          <c:val>
            <c:numRef>
              <c:f>Tablero!$AO$9:$AO$18</c:f>
              <c:numCache>
                <c:formatCode>General</c:formatCode>
                <c:ptCount val="10"/>
                <c:pt idx="0">
                  <c:v>1</c:v>
                </c:pt>
                <c:pt idx="1">
                  <c:v>1</c:v>
                </c:pt>
                <c:pt idx="2">
                  <c:v>1</c:v>
                </c:pt>
                <c:pt idx="3">
                  <c:v>1</c:v>
                </c:pt>
                <c:pt idx="4">
                  <c:v>1</c:v>
                </c:pt>
                <c:pt idx="5">
                  <c:v>1</c:v>
                </c:pt>
                <c:pt idx="6">
                  <c:v>1</c:v>
                </c:pt>
                <c:pt idx="7">
                  <c:v>1</c:v>
                </c:pt>
                <c:pt idx="8">
                  <c:v>1</c:v>
                </c:pt>
                <c:pt idx="9">
                  <c:v>9</c:v>
                </c:pt>
              </c:numCache>
            </c:numRef>
          </c:val>
          <c:extLst>
            <c:ext xmlns:c16="http://schemas.microsoft.com/office/drawing/2014/chart" uri="{C3380CC4-5D6E-409C-BE32-E72D297353CC}">
              <c16:uniqueId val="{00000014-6CE4-47F1-A88A-8EF5C4EAF711}"/>
            </c:ext>
          </c:extLst>
        </c:ser>
        <c:dLbls>
          <c:showLegendKey val="0"/>
          <c:showVal val="0"/>
          <c:showCatName val="0"/>
          <c:showSerName val="0"/>
          <c:showPercent val="0"/>
          <c:showBubbleSize val="0"/>
          <c:showLeaderLines val="0"/>
        </c:dLbls>
        <c:firstSliceAng val="270"/>
        <c:holeSize val="60"/>
      </c:doughnutChart>
      <c:scatterChart>
        <c:scatterStyle val="smoothMarker"/>
        <c:varyColors val="0"/>
        <c:ser>
          <c:idx val="1"/>
          <c:order val="1"/>
          <c:tx>
            <c:v>PUNTOS</c:v>
          </c:tx>
          <c:spPr>
            <a:ln w="38100" cap="rnd">
              <a:solidFill>
                <a:schemeClr val="tx1"/>
              </a:solidFill>
              <a:round/>
              <a:headEnd type="oval"/>
              <a:tailEnd type="triangle"/>
            </a:ln>
            <a:effectLst/>
          </c:spPr>
          <c:marker>
            <c:symbol val="none"/>
          </c:marker>
          <c:xVal>
            <c:numRef>
              <c:f>Tablero!$AZ$10:$AZ$11</c:f>
              <c:numCache>
                <c:formatCode>General</c:formatCode>
                <c:ptCount val="2"/>
                <c:pt idx="0">
                  <c:v>0</c:v>
                </c:pt>
                <c:pt idx="1">
                  <c:v>1</c:v>
                </c:pt>
              </c:numCache>
            </c:numRef>
          </c:xVal>
          <c:yVal>
            <c:numRef>
              <c:f>Tablero!$BA$10:$BA$11</c:f>
              <c:numCache>
                <c:formatCode>General</c:formatCode>
                <c:ptCount val="2"/>
                <c:pt idx="0">
                  <c:v>0</c:v>
                </c:pt>
                <c:pt idx="1">
                  <c:v>-1.22514845490862E-16</c:v>
                </c:pt>
              </c:numCache>
            </c:numRef>
          </c:yVal>
          <c:smooth val="1"/>
          <c:extLst>
            <c:ext xmlns:c16="http://schemas.microsoft.com/office/drawing/2014/chart" uri="{C3380CC4-5D6E-409C-BE32-E72D297353CC}">
              <c16:uniqueId val="{00000015-6CE4-47F1-A88A-8EF5C4EAF711}"/>
            </c:ext>
          </c:extLst>
        </c:ser>
        <c:ser>
          <c:idx val="2"/>
          <c:order val="2"/>
          <c:tx>
            <c:v>PUNTOS2</c:v>
          </c:tx>
          <c:spPr>
            <a:ln w="38100">
              <a:solidFill>
                <a:schemeClr val="tx1"/>
              </a:solidFill>
              <a:prstDash val="sysDash"/>
              <a:headEnd type="oval"/>
              <a:tailEnd type="triangle"/>
            </a:ln>
          </c:spPr>
          <c:marker>
            <c:symbol val="none"/>
          </c:marker>
          <c:xVal>
            <c:numRef>
              <c:f>Tablero!$AZ$26:$AZ$27</c:f>
              <c:numCache>
                <c:formatCode>General</c:formatCode>
                <c:ptCount val="2"/>
                <c:pt idx="0">
                  <c:v>0</c:v>
                </c:pt>
                <c:pt idx="1">
                  <c:v>1</c:v>
                </c:pt>
              </c:numCache>
            </c:numRef>
          </c:xVal>
          <c:yVal>
            <c:numRef>
              <c:f>Tablero!$BA$26:$BA$27</c:f>
              <c:numCache>
                <c:formatCode>General</c:formatCode>
                <c:ptCount val="2"/>
                <c:pt idx="0">
                  <c:v>0</c:v>
                </c:pt>
                <c:pt idx="1">
                  <c:v>-1.22514845490862E-16</c:v>
                </c:pt>
              </c:numCache>
            </c:numRef>
          </c:yVal>
          <c:smooth val="1"/>
          <c:extLst>
            <c:ext xmlns:c16="http://schemas.microsoft.com/office/drawing/2014/chart" uri="{C3380CC4-5D6E-409C-BE32-E72D297353CC}">
              <c16:uniqueId val="{00000028-4BAC-494C-ADCA-E270D6E95249}"/>
            </c:ext>
          </c:extLst>
        </c:ser>
        <c:dLbls>
          <c:showLegendKey val="0"/>
          <c:showVal val="0"/>
          <c:showCatName val="0"/>
          <c:showSerName val="0"/>
          <c:showPercent val="0"/>
          <c:showBubbleSize val="0"/>
        </c:dLbls>
        <c:axId val="373770328"/>
        <c:axId val="373775248"/>
      </c:scatterChart>
      <c:valAx>
        <c:axId val="373775248"/>
        <c:scaling>
          <c:orientation val="minMax"/>
          <c:max val="1"/>
          <c:min val="-1"/>
        </c:scaling>
        <c:delete val="1"/>
        <c:axPos val="l"/>
        <c:numFmt formatCode="General" sourceLinked="1"/>
        <c:majorTickMark val="out"/>
        <c:minorTickMark val="none"/>
        <c:tickLblPos val="nextTo"/>
        <c:crossAx val="373770328"/>
        <c:crosses val="autoZero"/>
        <c:crossBetween val="midCat"/>
      </c:valAx>
      <c:valAx>
        <c:axId val="373770328"/>
        <c:scaling>
          <c:orientation val="minMax"/>
          <c:max val="1"/>
          <c:min val="-1"/>
        </c:scaling>
        <c:delete val="1"/>
        <c:axPos val="b"/>
        <c:numFmt formatCode="General" sourceLinked="1"/>
        <c:majorTickMark val="out"/>
        <c:minorTickMark val="none"/>
        <c:tickLblPos val="nextTo"/>
        <c:crossAx val="373775248"/>
        <c:crosses val="autoZero"/>
        <c:crossBetween val="midCat"/>
      </c:valAx>
      <c:spPr>
        <a:noFill/>
        <a:ln>
          <a:noFill/>
        </a:ln>
        <a:effectLst>
          <a:glow>
            <a:schemeClr val="accent1"/>
          </a:glow>
        </a:effectLst>
      </c:spPr>
    </c:plotArea>
    <c:plotVisOnly val="1"/>
    <c:dispBlanksAs val="gap"/>
    <c:showDLblsOverMax val="0"/>
  </c:chart>
  <c:spPr>
    <a:noFill/>
    <a:ln w="9525" cap="flat" cmpd="sng" algn="ctr">
      <a:noFill/>
      <a:round/>
    </a:ln>
    <a:effectLst/>
  </c:spPr>
  <c:txPr>
    <a:bodyPr/>
    <a:lstStyle/>
    <a:p>
      <a:pPr>
        <a:defRPr/>
      </a:pPr>
      <a:endParaRPr lang="es-A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203651067931931"/>
          <c:y val="0.15802841937180667"/>
          <c:w val="0.49374523043633667"/>
          <c:h val="0.8372952423045027"/>
        </c:manualLayout>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1-950F-4D9B-B3D8-1E10BD293BFD}"/>
              </c:ext>
            </c:extLst>
          </c:dPt>
          <c:dPt>
            <c:idx val="1"/>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3-950F-4D9B-B3D8-1E10BD293BFD}"/>
              </c:ext>
            </c:extLst>
          </c:dPt>
          <c:dPt>
            <c:idx val="2"/>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5-950F-4D9B-B3D8-1E10BD293BFD}"/>
              </c:ext>
            </c:extLst>
          </c:dPt>
          <c:dPt>
            <c:idx val="3"/>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7-950F-4D9B-B3D8-1E10BD293BFD}"/>
              </c:ext>
            </c:extLst>
          </c:dPt>
          <c:dPt>
            <c:idx val="4"/>
            <c:bubble3D val="0"/>
            <c:spPr>
              <a:solidFill>
                <a:srgbClr val="FFFF00"/>
              </a:solidFill>
              <a:ln w="19050">
                <a:solidFill>
                  <a:schemeClr val="lt1"/>
                </a:solidFill>
              </a:ln>
              <a:effectLst/>
            </c:spPr>
            <c:extLst>
              <c:ext xmlns:c16="http://schemas.microsoft.com/office/drawing/2014/chart" uri="{C3380CC4-5D6E-409C-BE32-E72D297353CC}">
                <c16:uniqueId val="{00000009-950F-4D9B-B3D8-1E10BD293BFD}"/>
              </c:ext>
            </c:extLst>
          </c:dPt>
          <c:dPt>
            <c:idx val="5"/>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B-950F-4D9B-B3D8-1E10BD293BFD}"/>
              </c:ext>
            </c:extLst>
          </c:dPt>
          <c:dPt>
            <c:idx val="6"/>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D-950F-4D9B-B3D8-1E10BD293BFD}"/>
              </c:ext>
            </c:extLst>
          </c:dPt>
          <c:dPt>
            <c:idx val="7"/>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F-950F-4D9B-B3D8-1E10BD293BFD}"/>
              </c:ext>
            </c:extLst>
          </c:dPt>
          <c:dPt>
            <c:idx val="8"/>
            <c:bubble3D val="0"/>
            <c:spPr>
              <a:solidFill>
                <a:srgbClr val="00B050"/>
              </a:solidFill>
              <a:ln w="19050">
                <a:solidFill>
                  <a:schemeClr val="lt1"/>
                </a:solidFill>
              </a:ln>
              <a:effectLst/>
            </c:spPr>
            <c:extLst>
              <c:ext xmlns:c16="http://schemas.microsoft.com/office/drawing/2014/chart" uri="{C3380CC4-5D6E-409C-BE32-E72D297353CC}">
                <c16:uniqueId val="{00000011-950F-4D9B-B3D8-1E10BD293BFD}"/>
              </c:ext>
            </c:extLst>
          </c:dPt>
          <c:dPt>
            <c:idx val="9"/>
            <c:bubble3D val="0"/>
            <c:spPr>
              <a:noFill/>
              <a:ln w="19050">
                <a:noFill/>
              </a:ln>
              <a:effectLst/>
            </c:spPr>
            <c:extLst>
              <c:ext xmlns:c16="http://schemas.microsoft.com/office/drawing/2014/chart" uri="{C3380CC4-5D6E-409C-BE32-E72D297353CC}">
                <c16:uniqueId val="{00000013-950F-4D9B-B3D8-1E10BD293BFD}"/>
              </c:ext>
            </c:extLst>
          </c:dPt>
          <c:val>
            <c:numRef>
              <c:f>Tablero!$AO$9:$AO$18</c:f>
              <c:numCache>
                <c:formatCode>General</c:formatCode>
                <c:ptCount val="10"/>
                <c:pt idx="0">
                  <c:v>1</c:v>
                </c:pt>
                <c:pt idx="1">
                  <c:v>1</c:v>
                </c:pt>
                <c:pt idx="2">
                  <c:v>1</c:v>
                </c:pt>
                <c:pt idx="3">
                  <c:v>1</c:v>
                </c:pt>
                <c:pt idx="4">
                  <c:v>1</c:v>
                </c:pt>
                <c:pt idx="5">
                  <c:v>1</c:v>
                </c:pt>
                <c:pt idx="6">
                  <c:v>1</c:v>
                </c:pt>
                <c:pt idx="7">
                  <c:v>1</c:v>
                </c:pt>
                <c:pt idx="8">
                  <c:v>1</c:v>
                </c:pt>
                <c:pt idx="9">
                  <c:v>9</c:v>
                </c:pt>
              </c:numCache>
            </c:numRef>
          </c:val>
          <c:extLst>
            <c:ext xmlns:c16="http://schemas.microsoft.com/office/drawing/2014/chart" uri="{C3380CC4-5D6E-409C-BE32-E72D297353CC}">
              <c16:uniqueId val="{00000014-950F-4D9B-B3D8-1E10BD293BFD}"/>
            </c:ext>
          </c:extLst>
        </c:ser>
        <c:dLbls>
          <c:showLegendKey val="0"/>
          <c:showVal val="0"/>
          <c:showCatName val="0"/>
          <c:showSerName val="0"/>
          <c:showPercent val="0"/>
          <c:showBubbleSize val="0"/>
          <c:showLeaderLines val="0"/>
        </c:dLbls>
        <c:firstSliceAng val="270"/>
        <c:holeSize val="60"/>
      </c:doughnutChart>
      <c:scatterChart>
        <c:scatterStyle val="smoothMarker"/>
        <c:varyColors val="0"/>
        <c:ser>
          <c:idx val="1"/>
          <c:order val="1"/>
          <c:tx>
            <c:v>PUNTOS</c:v>
          </c:tx>
          <c:spPr>
            <a:ln w="38100" cap="rnd">
              <a:solidFill>
                <a:schemeClr val="tx1"/>
              </a:solidFill>
              <a:round/>
              <a:headEnd type="oval"/>
              <a:tailEnd type="triangle"/>
            </a:ln>
            <a:effectLst/>
          </c:spPr>
          <c:marker>
            <c:symbol val="circle"/>
            <c:size val="5"/>
            <c:spPr>
              <a:noFill/>
              <a:ln w="9525">
                <a:noFill/>
              </a:ln>
              <a:effectLst/>
            </c:spPr>
          </c:marker>
          <c:xVal>
            <c:numRef>
              <c:f>Tablero!$AZ$15:$AZ$16</c:f>
              <c:numCache>
                <c:formatCode>General</c:formatCode>
                <c:ptCount val="2"/>
                <c:pt idx="0">
                  <c:v>0</c:v>
                </c:pt>
                <c:pt idx="1">
                  <c:v>1</c:v>
                </c:pt>
              </c:numCache>
            </c:numRef>
          </c:xVal>
          <c:yVal>
            <c:numRef>
              <c:f>Tablero!$BA$15:$BA$16</c:f>
              <c:numCache>
                <c:formatCode>General</c:formatCode>
                <c:ptCount val="2"/>
                <c:pt idx="0">
                  <c:v>0</c:v>
                </c:pt>
                <c:pt idx="1">
                  <c:v>1.22514845490862E-16</c:v>
                </c:pt>
              </c:numCache>
            </c:numRef>
          </c:yVal>
          <c:smooth val="1"/>
          <c:extLst>
            <c:ext xmlns:c16="http://schemas.microsoft.com/office/drawing/2014/chart" uri="{C3380CC4-5D6E-409C-BE32-E72D297353CC}">
              <c16:uniqueId val="{00000015-950F-4D9B-B3D8-1E10BD293BFD}"/>
            </c:ext>
          </c:extLst>
        </c:ser>
        <c:ser>
          <c:idx val="2"/>
          <c:order val="2"/>
          <c:tx>
            <c:v>PUNTOS2</c:v>
          </c:tx>
          <c:spPr>
            <a:ln w="38100">
              <a:solidFill>
                <a:schemeClr val="tx1"/>
              </a:solidFill>
              <a:prstDash val="sysDash"/>
              <a:headEnd type="oval"/>
              <a:tailEnd type="triangle"/>
            </a:ln>
          </c:spPr>
          <c:marker>
            <c:spPr>
              <a:noFill/>
              <a:ln>
                <a:noFill/>
              </a:ln>
            </c:spPr>
          </c:marker>
          <c:xVal>
            <c:numRef>
              <c:f>Tablero!$AZ$31:$AZ$32</c:f>
              <c:numCache>
                <c:formatCode>General</c:formatCode>
                <c:ptCount val="2"/>
                <c:pt idx="0">
                  <c:v>0</c:v>
                </c:pt>
                <c:pt idx="1">
                  <c:v>1</c:v>
                </c:pt>
              </c:numCache>
            </c:numRef>
          </c:xVal>
          <c:yVal>
            <c:numRef>
              <c:f>Tablero!$BA$31:$BA$32</c:f>
              <c:numCache>
                <c:formatCode>General</c:formatCode>
                <c:ptCount val="2"/>
                <c:pt idx="0">
                  <c:v>0</c:v>
                </c:pt>
                <c:pt idx="1">
                  <c:v>1.22514845490862E-16</c:v>
                </c:pt>
              </c:numCache>
            </c:numRef>
          </c:yVal>
          <c:smooth val="1"/>
          <c:extLst>
            <c:ext xmlns:c16="http://schemas.microsoft.com/office/drawing/2014/chart" uri="{C3380CC4-5D6E-409C-BE32-E72D297353CC}">
              <c16:uniqueId val="{00000014-32FA-4BF3-B5CD-4A29EB304585}"/>
            </c:ext>
          </c:extLst>
        </c:ser>
        <c:dLbls>
          <c:showLegendKey val="0"/>
          <c:showVal val="0"/>
          <c:showCatName val="0"/>
          <c:showSerName val="0"/>
          <c:showPercent val="0"/>
          <c:showBubbleSize val="0"/>
        </c:dLbls>
        <c:axId val="373770328"/>
        <c:axId val="373775248"/>
      </c:scatterChart>
      <c:valAx>
        <c:axId val="373775248"/>
        <c:scaling>
          <c:orientation val="minMax"/>
          <c:max val="1"/>
          <c:min val="-1"/>
        </c:scaling>
        <c:delete val="1"/>
        <c:axPos val="l"/>
        <c:numFmt formatCode="General" sourceLinked="1"/>
        <c:majorTickMark val="out"/>
        <c:minorTickMark val="none"/>
        <c:tickLblPos val="nextTo"/>
        <c:crossAx val="373770328"/>
        <c:crosses val="autoZero"/>
        <c:crossBetween val="midCat"/>
      </c:valAx>
      <c:valAx>
        <c:axId val="373770328"/>
        <c:scaling>
          <c:orientation val="minMax"/>
          <c:max val="1"/>
          <c:min val="-1"/>
        </c:scaling>
        <c:delete val="1"/>
        <c:axPos val="b"/>
        <c:numFmt formatCode="General" sourceLinked="1"/>
        <c:majorTickMark val="out"/>
        <c:minorTickMark val="none"/>
        <c:tickLblPos val="nextTo"/>
        <c:crossAx val="373775248"/>
        <c:crosses val="autoZero"/>
        <c:crossBetween val="midCat"/>
      </c:valAx>
      <c:spPr>
        <a:noFill/>
        <a:ln>
          <a:noFill/>
        </a:ln>
        <a:effectLst>
          <a:glow>
            <a:schemeClr val="accent1"/>
          </a:glow>
        </a:effectLst>
      </c:spPr>
    </c:plotArea>
    <c:plotVisOnly val="1"/>
    <c:dispBlanksAs val="gap"/>
    <c:showDLblsOverMax val="0"/>
  </c:chart>
  <c:spPr>
    <a:noFill/>
    <a:ln w="9525" cap="flat" cmpd="sng" algn="ctr">
      <a:noFill/>
      <a:round/>
    </a:ln>
    <a:effectLst/>
  </c:spPr>
  <c:txPr>
    <a:bodyPr/>
    <a:lstStyle/>
    <a:p>
      <a:pPr>
        <a:defRPr/>
      </a:pPr>
      <a:endParaRPr lang="es-A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256416439688818"/>
          <c:y val="0.19068306614667607"/>
          <c:w val="0.49777582317472191"/>
          <c:h val="0.69645942383134596"/>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DF4-48B1-925C-98320491E31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DF4-48B1-925C-98320491E31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1DF4-48B1-925C-98320491E31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1DF4-48B1-925C-98320491E315}"/>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1DF4-48B1-925C-98320491E315}"/>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1DF4-48B1-925C-98320491E315}"/>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1DF4-48B1-925C-98320491E315}"/>
              </c:ext>
            </c:extLst>
          </c:dPt>
          <c:dLbls>
            <c:dLbl>
              <c:idx val="6"/>
              <c:layout>
                <c:manualLayout>
                  <c:x val="6.5439698091118853E-3"/>
                  <c:y val="0"/>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3716995462504087"/>
                      <c:h val="0.21407511473114402"/>
                    </c:manualLayout>
                  </c15:layout>
                </c:ext>
                <c:ext xmlns:c16="http://schemas.microsoft.com/office/drawing/2014/chart" uri="{C3380CC4-5D6E-409C-BE32-E72D297353CC}">
                  <c16:uniqueId val="{0000000D-1DF4-48B1-925C-98320491E315}"/>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s-AR"/>
              </a:p>
            </c:txPr>
            <c:dLblPos val="outEnd"/>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Tablero!$W$38:$W$44</c:f>
              <c:strCache>
                <c:ptCount val="7"/>
                <c:pt idx="0">
                  <c:v>Margen Contribución</c:v>
                </c:pt>
                <c:pt idx="1">
                  <c:v>EBITDA</c:v>
                </c:pt>
                <c:pt idx="2">
                  <c:v>BAII</c:v>
                </c:pt>
                <c:pt idx="3">
                  <c:v>BAI</c:v>
                </c:pt>
                <c:pt idx="4">
                  <c:v>Beneficio Neto</c:v>
                </c:pt>
                <c:pt idx="6">
                  <c:v>Crecimiento</c:v>
                </c:pt>
              </c:strCache>
            </c:strRef>
          </c:cat>
          <c:val>
            <c:numRef>
              <c:f>Tablero!$Y$38:$Y$44</c:f>
              <c:numCache>
                <c:formatCode>0%</c:formatCode>
                <c:ptCount val="7"/>
                <c:pt idx="0">
                  <c:v>0.34129675583010599</c:v>
                </c:pt>
                <c:pt idx="1">
                  <c:v>0.34129675583010599</c:v>
                </c:pt>
                <c:pt idx="2">
                  <c:v>0.31354513467076395</c:v>
                </c:pt>
                <c:pt idx="3">
                  <c:v>0.26529795368445552</c:v>
                </c:pt>
                <c:pt idx="4">
                  <c:v>0.24936726442447416</c:v>
                </c:pt>
                <c:pt idx="6">
                  <c:v>0.2049201721328853</c:v>
                </c:pt>
              </c:numCache>
            </c:numRef>
          </c:val>
          <c:extLst>
            <c:ext xmlns:c16="http://schemas.microsoft.com/office/drawing/2014/chart" uri="{C3380CC4-5D6E-409C-BE32-E72D297353CC}">
              <c16:uniqueId val="{00000000-B6F3-4633-B3A8-B3BE99AE4C47}"/>
            </c:ext>
          </c:extLst>
        </c:ser>
        <c:dLbls>
          <c:showLegendKey val="0"/>
          <c:showVal val="0"/>
          <c:showCatName val="0"/>
          <c:showSerName val="0"/>
          <c:showPercent val="0"/>
          <c:showBubbleSize val="0"/>
          <c:showLeaderLines val="0"/>
        </c:dLbls>
        <c:firstSliceAng val="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s-A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07953346777598"/>
          <c:y val="0.21435842809418698"/>
          <c:w val="0.78582773978613818"/>
          <c:h val="0.63762676006929642"/>
        </c:manualLayout>
      </c:layout>
      <c:barChart>
        <c:barDir val="col"/>
        <c:grouping val="percentStacked"/>
        <c:varyColors val="0"/>
        <c:ser>
          <c:idx val="0"/>
          <c:order val="0"/>
          <c:tx>
            <c:strRef>
              <c:f>Tablero!$X$31</c:f>
              <c:strCache>
                <c:ptCount val="1"/>
                <c:pt idx="0">
                  <c:v>Agrícola</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mn-lt"/>
                    <a:ea typeface="+mn-ea"/>
                    <a:cs typeface="+mn-cs"/>
                  </a:defRPr>
                </a:pPr>
                <a:endParaRPr lang="es-A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f>Tablero!$W$32:$W$34</c:f>
              <c:strCache>
                <c:ptCount val="3"/>
                <c:pt idx="0">
                  <c:v>INGRESOS</c:v>
                </c:pt>
                <c:pt idx="1">
                  <c:v>GASTOS DIRECTOS</c:v>
                </c:pt>
                <c:pt idx="2">
                  <c:v>MARGEN BRUTO</c:v>
                </c:pt>
              </c:strCache>
            </c:strRef>
          </c:cat>
          <c:val>
            <c:numRef>
              <c:f>Tablero!$X$32:$X$34</c:f>
              <c:numCache>
                <c:formatCode>0%</c:formatCode>
                <c:ptCount val="3"/>
                <c:pt idx="0">
                  <c:v>0.71324393179396428</c:v>
                </c:pt>
                <c:pt idx="1">
                  <c:v>0.79686288597334043</c:v>
                </c:pt>
                <c:pt idx="2">
                  <c:v>0.55185922639856044</c:v>
                </c:pt>
              </c:numCache>
            </c:numRef>
          </c:val>
          <c:extLst>
            <c:ext xmlns:c16="http://schemas.microsoft.com/office/drawing/2014/chart" uri="{C3380CC4-5D6E-409C-BE32-E72D297353CC}">
              <c16:uniqueId val="{00000002-704D-454D-A2C9-CA10F2CB15C0}"/>
            </c:ext>
          </c:extLst>
        </c:ser>
        <c:ser>
          <c:idx val="1"/>
          <c:order val="1"/>
          <c:tx>
            <c:strRef>
              <c:f>Tablero!$Y$31</c:f>
              <c:strCache>
                <c:ptCount val="1"/>
                <c:pt idx="0">
                  <c:v>Ganadero</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mn-lt"/>
                    <a:ea typeface="+mn-ea"/>
                    <a:cs typeface="+mn-cs"/>
                  </a:defRPr>
                </a:pPr>
                <a:endParaRPr lang="es-A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f>Tablero!$W$32:$W$34</c:f>
              <c:strCache>
                <c:ptCount val="3"/>
                <c:pt idx="0">
                  <c:v>INGRESOS</c:v>
                </c:pt>
                <c:pt idx="1">
                  <c:v>GASTOS DIRECTOS</c:v>
                </c:pt>
                <c:pt idx="2">
                  <c:v>MARGEN BRUTO</c:v>
                </c:pt>
              </c:strCache>
            </c:strRef>
          </c:cat>
          <c:val>
            <c:numRef>
              <c:f>Tablero!$Y$32:$Y$34</c:f>
              <c:numCache>
                <c:formatCode>0%</c:formatCode>
                <c:ptCount val="3"/>
                <c:pt idx="0">
                  <c:v>0</c:v>
                </c:pt>
                <c:pt idx="1">
                  <c:v>0</c:v>
                </c:pt>
                <c:pt idx="2">
                  <c:v>0</c:v>
                </c:pt>
              </c:numCache>
            </c:numRef>
          </c:val>
          <c:extLst>
            <c:ext xmlns:c16="http://schemas.microsoft.com/office/drawing/2014/chart" uri="{C3380CC4-5D6E-409C-BE32-E72D297353CC}">
              <c16:uniqueId val="{00000003-704D-454D-A2C9-CA10F2CB15C0}"/>
            </c:ext>
          </c:extLst>
        </c:ser>
        <c:ser>
          <c:idx val="2"/>
          <c:order val="2"/>
          <c:tx>
            <c:strRef>
              <c:f>Tablero!$Z$31</c:f>
              <c:strCache>
                <c:ptCount val="1"/>
                <c:pt idx="0">
                  <c:v>Lechero</c:v>
                </c:pt>
              </c:strCache>
            </c:strRef>
          </c:tx>
          <c:spPr>
            <a:solidFill>
              <a:schemeClr val="accent4"/>
            </a:solidFill>
            <a:ln>
              <a:noFill/>
            </a:ln>
            <a:effectLst/>
          </c:spPr>
          <c:invertIfNegative val="0"/>
          <c:cat>
            <c:strRef>
              <c:f>Tablero!$W$32:$W$34</c:f>
              <c:strCache>
                <c:ptCount val="3"/>
                <c:pt idx="0">
                  <c:v>INGRESOS</c:v>
                </c:pt>
                <c:pt idx="1">
                  <c:v>GASTOS DIRECTOS</c:v>
                </c:pt>
                <c:pt idx="2">
                  <c:v>MARGEN BRUTO</c:v>
                </c:pt>
              </c:strCache>
            </c:strRef>
          </c:cat>
          <c:val>
            <c:numRef>
              <c:f>Tablero!$Z$32:$Z$34</c:f>
              <c:numCache>
                <c:formatCode>0%</c:formatCode>
                <c:ptCount val="3"/>
                <c:pt idx="0">
                  <c:v>0</c:v>
                </c:pt>
                <c:pt idx="1">
                  <c:v>0</c:v>
                </c:pt>
                <c:pt idx="2">
                  <c:v>0</c:v>
                </c:pt>
              </c:numCache>
            </c:numRef>
          </c:val>
          <c:extLst>
            <c:ext xmlns:c16="http://schemas.microsoft.com/office/drawing/2014/chart" uri="{C3380CC4-5D6E-409C-BE32-E72D297353CC}">
              <c16:uniqueId val="{00000004-704D-454D-A2C9-CA10F2CB15C0}"/>
            </c:ext>
          </c:extLst>
        </c:ser>
        <c:ser>
          <c:idx val="3"/>
          <c:order val="3"/>
          <c:tx>
            <c:strRef>
              <c:f>Tablero!$AA$31</c:f>
              <c:strCache>
                <c:ptCount val="1"/>
                <c:pt idx="0">
                  <c:v>Maquinaria</c:v>
                </c:pt>
              </c:strCache>
            </c:strRef>
          </c:tx>
          <c:spPr>
            <a:solidFill>
              <a:schemeClr val="accent6">
                <a:lumMod val="60000"/>
              </a:schemeClr>
            </a:solidFill>
            <a:ln>
              <a:noFill/>
            </a:ln>
            <a:effectLst/>
          </c:spPr>
          <c:invertIfNegative val="0"/>
          <c:cat>
            <c:strRef>
              <c:f>Tablero!$W$32:$W$34</c:f>
              <c:strCache>
                <c:ptCount val="3"/>
                <c:pt idx="0">
                  <c:v>INGRESOS</c:v>
                </c:pt>
                <c:pt idx="1">
                  <c:v>GASTOS DIRECTOS</c:v>
                </c:pt>
                <c:pt idx="2">
                  <c:v>MARGEN BRUTO</c:v>
                </c:pt>
              </c:strCache>
            </c:strRef>
          </c:cat>
          <c:val>
            <c:numRef>
              <c:f>Tablero!$AA$32:$AA$34</c:f>
              <c:numCache>
                <c:formatCode>0%</c:formatCode>
                <c:ptCount val="3"/>
                <c:pt idx="0">
                  <c:v>0.14646592998695745</c:v>
                </c:pt>
                <c:pt idx="1">
                  <c:v>0.15564846825686271</c:v>
                </c:pt>
                <c:pt idx="2">
                  <c:v>0.12874361752785018</c:v>
                </c:pt>
              </c:numCache>
            </c:numRef>
          </c:val>
          <c:extLst>
            <c:ext xmlns:c16="http://schemas.microsoft.com/office/drawing/2014/chart" uri="{C3380CC4-5D6E-409C-BE32-E72D297353CC}">
              <c16:uniqueId val="{00000007-704D-454D-A2C9-CA10F2CB15C0}"/>
            </c:ext>
          </c:extLst>
        </c:ser>
        <c:ser>
          <c:idx val="4"/>
          <c:order val="4"/>
          <c:tx>
            <c:strRef>
              <c:f>Tablero!$AB$31</c:f>
              <c:strCache>
                <c:ptCount val="1"/>
                <c:pt idx="0">
                  <c:v>Inmobiliario</c:v>
                </c:pt>
              </c:strCache>
            </c:strRef>
          </c:tx>
          <c:spPr>
            <a:solidFill>
              <a:schemeClr val="accent5">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mn-lt"/>
                    <a:ea typeface="+mn-ea"/>
                    <a:cs typeface="+mn-cs"/>
                  </a:defRPr>
                </a:pPr>
                <a:endParaRPr lang="es-A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f>Tablero!$W$32:$W$34</c:f>
              <c:strCache>
                <c:ptCount val="3"/>
                <c:pt idx="0">
                  <c:v>INGRESOS</c:v>
                </c:pt>
                <c:pt idx="1">
                  <c:v>GASTOS DIRECTOS</c:v>
                </c:pt>
                <c:pt idx="2">
                  <c:v>MARGEN BRUTO</c:v>
                </c:pt>
              </c:strCache>
            </c:strRef>
          </c:cat>
          <c:val>
            <c:numRef>
              <c:f>Tablero!$AB$32:$AB$34</c:f>
              <c:numCache>
                <c:formatCode>0%</c:formatCode>
                <c:ptCount val="3"/>
                <c:pt idx="0">
                  <c:v>1.7130342217607505E-2</c:v>
                </c:pt>
                <c:pt idx="1">
                  <c:v>4.2879064331371114E-3</c:v>
                </c:pt>
                <c:pt idx="2">
                  <c:v>4.1916262299675801E-2</c:v>
                </c:pt>
              </c:numCache>
            </c:numRef>
          </c:val>
          <c:extLst>
            <c:ext xmlns:c16="http://schemas.microsoft.com/office/drawing/2014/chart" uri="{C3380CC4-5D6E-409C-BE32-E72D297353CC}">
              <c16:uniqueId val="{00000008-704D-454D-A2C9-CA10F2CB15C0}"/>
            </c:ext>
          </c:extLst>
        </c:ser>
        <c:ser>
          <c:idx val="5"/>
          <c:order val="5"/>
          <c:tx>
            <c:strRef>
              <c:f>Tablero!$AC$31</c:f>
              <c:strCache>
                <c:ptCount val="1"/>
                <c:pt idx="0">
                  <c:v>Gerenciamiento</c:v>
                </c:pt>
              </c:strCache>
            </c:strRef>
          </c:tx>
          <c:spPr>
            <a:solidFill>
              <a:schemeClr val="accent4">
                <a:lumMod val="60000"/>
              </a:schemeClr>
            </a:solidFill>
            <a:ln>
              <a:noFill/>
            </a:ln>
            <a:effectLst/>
          </c:spPr>
          <c:invertIfNegative val="0"/>
          <c:cat>
            <c:strRef>
              <c:f>Tablero!$W$32:$W$34</c:f>
              <c:strCache>
                <c:ptCount val="3"/>
                <c:pt idx="0">
                  <c:v>INGRESOS</c:v>
                </c:pt>
                <c:pt idx="1">
                  <c:v>GASTOS DIRECTOS</c:v>
                </c:pt>
                <c:pt idx="2">
                  <c:v>MARGEN BRUTO</c:v>
                </c:pt>
              </c:strCache>
            </c:strRef>
          </c:cat>
          <c:val>
            <c:numRef>
              <c:f>Tablero!$AC$32:$AC$34</c:f>
              <c:numCache>
                <c:formatCode>0%</c:formatCode>
                <c:ptCount val="3"/>
                <c:pt idx="0">
                  <c:v>4.4560672217282368E-2</c:v>
                </c:pt>
                <c:pt idx="1">
                  <c:v>4.3200739336659695E-2</c:v>
                </c:pt>
                <c:pt idx="2">
                  <c:v>4.718534469077456E-2</c:v>
                </c:pt>
              </c:numCache>
            </c:numRef>
          </c:val>
          <c:extLst>
            <c:ext xmlns:c16="http://schemas.microsoft.com/office/drawing/2014/chart" uri="{C3380CC4-5D6E-409C-BE32-E72D297353CC}">
              <c16:uniqueId val="{00000009-704D-454D-A2C9-CA10F2CB15C0}"/>
            </c:ext>
          </c:extLst>
        </c:ser>
        <c:ser>
          <c:idx val="6"/>
          <c:order val="6"/>
          <c:tx>
            <c:strRef>
              <c:f>Tablero!$AD$31</c:f>
              <c:strCache>
                <c:ptCount val="1"/>
                <c:pt idx="0">
                  <c:v>Otros</c:v>
                </c:pt>
              </c:strCache>
            </c:strRef>
          </c:tx>
          <c:spPr>
            <a:solidFill>
              <a:schemeClr val="accent3"/>
            </a:solidFill>
            <a:ln>
              <a:noFill/>
            </a:ln>
            <a:effectLst/>
          </c:spPr>
          <c:invertIfNegative val="0"/>
          <c:cat>
            <c:strRef>
              <c:f>Tablero!$W$32:$W$34</c:f>
              <c:strCache>
                <c:ptCount val="3"/>
                <c:pt idx="0">
                  <c:v>INGRESOS</c:v>
                </c:pt>
                <c:pt idx="1">
                  <c:v>GASTOS DIRECTOS</c:v>
                </c:pt>
                <c:pt idx="2">
                  <c:v>MARGEN BRUTO</c:v>
                </c:pt>
              </c:strCache>
            </c:strRef>
          </c:cat>
          <c:val>
            <c:numRef>
              <c:f>Tablero!$AD$32:$AD$34</c:f>
              <c:numCache>
                <c:formatCode>0%</c:formatCode>
                <c:ptCount val="3"/>
                <c:pt idx="0">
                  <c:v>7.8599123784188429E-2</c:v>
                </c:pt>
                <c:pt idx="1">
                  <c:v>0</c:v>
                </c:pt>
                <c:pt idx="2">
                  <c:v>0.2302955490831394</c:v>
                </c:pt>
              </c:numCache>
            </c:numRef>
          </c:val>
          <c:extLst>
            <c:ext xmlns:c16="http://schemas.microsoft.com/office/drawing/2014/chart" uri="{C3380CC4-5D6E-409C-BE32-E72D297353CC}">
              <c16:uniqueId val="{0000000A-704D-454D-A2C9-CA10F2CB15C0}"/>
            </c:ext>
          </c:extLst>
        </c:ser>
        <c:dLbls>
          <c:showLegendKey val="0"/>
          <c:showVal val="0"/>
          <c:showCatName val="0"/>
          <c:showSerName val="0"/>
          <c:showPercent val="0"/>
          <c:showBubbleSize val="0"/>
        </c:dLbls>
        <c:gapWidth val="100"/>
        <c:overlap val="100"/>
        <c:axId val="108328832"/>
        <c:axId val="108330368"/>
      </c:barChart>
      <c:catAx>
        <c:axId val="10832883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AR"/>
          </a:p>
        </c:txPr>
        <c:crossAx val="108330368"/>
        <c:crosses val="autoZero"/>
        <c:auto val="1"/>
        <c:lblAlgn val="ctr"/>
        <c:lblOffset val="100"/>
        <c:noMultiLvlLbl val="0"/>
      </c:catAx>
      <c:valAx>
        <c:axId val="108330368"/>
        <c:scaling>
          <c:orientation val="minMax"/>
          <c:min val="0"/>
        </c:scaling>
        <c:delete val="1"/>
        <c:axPos val="l"/>
        <c:numFmt formatCode="0%" sourceLinked="1"/>
        <c:majorTickMark val="out"/>
        <c:minorTickMark val="none"/>
        <c:tickLblPos val="nextTo"/>
        <c:crossAx val="108328832"/>
        <c:crosses val="autoZero"/>
        <c:crossBetween val="between"/>
      </c:valAx>
      <c:spPr>
        <a:noFill/>
        <a:ln>
          <a:noFill/>
        </a:ln>
        <a:effectLst/>
      </c:spPr>
    </c:plotArea>
    <c:legend>
      <c:legendPos val="t"/>
      <c:layout>
        <c:manualLayout>
          <c:xMode val="edge"/>
          <c:yMode val="edge"/>
          <c:x val="3.9810665308594034E-2"/>
          <c:y val="2.5702813412416144E-2"/>
          <c:w val="0.91671832934010411"/>
          <c:h val="0.1606510165091666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AR"/>
        </a:p>
      </c:txPr>
    </c:legend>
    <c:plotVisOnly val="1"/>
    <c:dispBlanksAs val="gap"/>
    <c:showDLblsOverMax val="0"/>
  </c:chart>
  <c:spPr>
    <a:noFill/>
    <a:ln w="9525" cap="flat" cmpd="sng" algn="ctr">
      <a:noFill/>
      <a:prstDash val="solid"/>
      <a:round/>
    </a:ln>
    <a:effectLst/>
  </c:spPr>
  <c:txPr>
    <a:bodyPr/>
    <a:lstStyle/>
    <a:p>
      <a:pPr>
        <a:defRPr/>
      </a:pPr>
      <a:endParaRPr lang="es-A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0.14411482486547772"/>
          <c:y val="0.15013859501554924"/>
          <c:w val="0.49374523043633667"/>
          <c:h val="0.8372952423045027"/>
        </c:manualLayout>
      </c:layout>
      <c:doughnutChart>
        <c:varyColors val="1"/>
        <c:ser>
          <c:idx val="0"/>
          <c:order val="0"/>
          <c:dPt>
            <c:idx val="0"/>
            <c:bubble3D val="0"/>
            <c:spPr>
              <a:solidFill>
                <a:schemeClr val="accent6">
                  <a:tint val="43000"/>
                </a:schemeClr>
              </a:solidFill>
              <a:ln w="19050">
                <a:solidFill>
                  <a:schemeClr val="lt1"/>
                </a:solidFill>
              </a:ln>
              <a:effectLst/>
            </c:spPr>
            <c:extLst>
              <c:ext xmlns:c16="http://schemas.microsoft.com/office/drawing/2014/chart" uri="{C3380CC4-5D6E-409C-BE32-E72D297353CC}">
                <c16:uniqueId val="{00000002-6F30-4B8C-991C-0908FD987A52}"/>
              </c:ext>
            </c:extLst>
          </c:dPt>
          <c:dPt>
            <c:idx val="1"/>
            <c:bubble3D val="0"/>
            <c:spPr>
              <a:solidFill>
                <a:schemeClr val="accent6">
                  <a:tint val="56000"/>
                </a:schemeClr>
              </a:solidFill>
              <a:ln w="19050">
                <a:solidFill>
                  <a:schemeClr val="lt1"/>
                </a:solidFill>
              </a:ln>
              <a:effectLst/>
            </c:spPr>
            <c:extLst>
              <c:ext xmlns:c16="http://schemas.microsoft.com/office/drawing/2014/chart" uri="{C3380CC4-5D6E-409C-BE32-E72D297353CC}">
                <c16:uniqueId val="{00000003-6F30-4B8C-991C-0908FD987A52}"/>
              </c:ext>
            </c:extLst>
          </c:dPt>
          <c:dPt>
            <c:idx val="2"/>
            <c:bubble3D val="0"/>
            <c:spPr>
              <a:solidFill>
                <a:schemeClr val="accent6">
                  <a:tint val="69000"/>
                </a:schemeClr>
              </a:solidFill>
              <a:ln w="19050">
                <a:solidFill>
                  <a:schemeClr val="lt1"/>
                </a:solidFill>
              </a:ln>
              <a:effectLst/>
            </c:spPr>
            <c:extLst>
              <c:ext xmlns:c16="http://schemas.microsoft.com/office/drawing/2014/chart" uri="{C3380CC4-5D6E-409C-BE32-E72D297353CC}">
                <c16:uniqueId val="{00000004-6F30-4B8C-991C-0908FD987A52}"/>
              </c:ext>
            </c:extLst>
          </c:dPt>
          <c:dPt>
            <c:idx val="3"/>
            <c:bubble3D val="0"/>
            <c:spPr>
              <a:solidFill>
                <a:schemeClr val="accent6">
                  <a:tint val="81000"/>
                </a:schemeClr>
              </a:solidFill>
              <a:ln w="19050">
                <a:solidFill>
                  <a:schemeClr val="lt1"/>
                </a:solidFill>
              </a:ln>
              <a:effectLst/>
            </c:spPr>
            <c:extLst>
              <c:ext xmlns:c16="http://schemas.microsoft.com/office/drawing/2014/chart" uri="{C3380CC4-5D6E-409C-BE32-E72D297353CC}">
                <c16:uniqueId val="{00000005-6F30-4B8C-991C-0908FD987A52}"/>
              </c:ext>
            </c:extLst>
          </c:dPt>
          <c:dPt>
            <c:idx val="4"/>
            <c:bubble3D val="0"/>
            <c:spPr>
              <a:solidFill>
                <a:schemeClr val="accent6">
                  <a:tint val="94000"/>
                </a:schemeClr>
              </a:solidFill>
              <a:ln w="19050">
                <a:solidFill>
                  <a:schemeClr val="lt1"/>
                </a:solidFill>
              </a:ln>
              <a:effectLst/>
            </c:spPr>
            <c:extLst>
              <c:ext xmlns:c16="http://schemas.microsoft.com/office/drawing/2014/chart" uri="{C3380CC4-5D6E-409C-BE32-E72D297353CC}">
                <c16:uniqueId val="{00000006-6F30-4B8C-991C-0908FD987A52}"/>
              </c:ext>
            </c:extLst>
          </c:dPt>
          <c:dPt>
            <c:idx val="5"/>
            <c:bubble3D val="0"/>
            <c:spPr>
              <a:solidFill>
                <a:schemeClr val="accent6">
                  <a:shade val="93000"/>
                </a:schemeClr>
              </a:solidFill>
              <a:ln w="19050">
                <a:solidFill>
                  <a:schemeClr val="lt1"/>
                </a:solidFill>
              </a:ln>
              <a:effectLst/>
            </c:spPr>
            <c:extLst>
              <c:ext xmlns:c16="http://schemas.microsoft.com/office/drawing/2014/chart" uri="{C3380CC4-5D6E-409C-BE32-E72D297353CC}">
                <c16:uniqueId val="{00000007-6F30-4B8C-991C-0908FD987A52}"/>
              </c:ext>
            </c:extLst>
          </c:dPt>
          <c:dPt>
            <c:idx val="6"/>
            <c:bubble3D val="0"/>
            <c:spPr>
              <a:solidFill>
                <a:schemeClr val="accent6">
                  <a:shade val="80000"/>
                </a:schemeClr>
              </a:solidFill>
              <a:ln w="19050">
                <a:solidFill>
                  <a:schemeClr val="lt1"/>
                </a:solidFill>
              </a:ln>
              <a:effectLst/>
            </c:spPr>
            <c:extLst>
              <c:ext xmlns:c16="http://schemas.microsoft.com/office/drawing/2014/chart" uri="{C3380CC4-5D6E-409C-BE32-E72D297353CC}">
                <c16:uniqueId val="{00000008-6F30-4B8C-991C-0908FD987A52}"/>
              </c:ext>
            </c:extLst>
          </c:dPt>
          <c:dPt>
            <c:idx val="7"/>
            <c:bubble3D val="0"/>
            <c:spPr>
              <a:solidFill>
                <a:schemeClr val="accent6">
                  <a:shade val="68000"/>
                </a:schemeClr>
              </a:solidFill>
              <a:ln w="19050">
                <a:solidFill>
                  <a:schemeClr val="lt1"/>
                </a:solidFill>
              </a:ln>
              <a:effectLst/>
            </c:spPr>
            <c:extLst>
              <c:ext xmlns:c16="http://schemas.microsoft.com/office/drawing/2014/chart" uri="{C3380CC4-5D6E-409C-BE32-E72D297353CC}">
                <c16:uniqueId val="{00000009-6F30-4B8C-991C-0908FD987A52}"/>
              </c:ext>
            </c:extLst>
          </c:dPt>
          <c:dPt>
            <c:idx val="8"/>
            <c:bubble3D val="0"/>
            <c:spPr>
              <a:solidFill>
                <a:schemeClr val="accent6">
                  <a:shade val="55000"/>
                </a:schemeClr>
              </a:solidFill>
              <a:ln w="19050">
                <a:solidFill>
                  <a:schemeClr val="lt1"/>
                </a:solidFill>
              </a:ln>
              <a:effectLst/>
            </c:spPr>
            <c:extLst>
              <c:ext xmlns:c16="http://schemas.microsoft.com/office/drawing/2014/chart" uri="{C3380CC4-5D6E-409C-BE32-E72D297353CC}">
                <c16:uniqueId val="{0000000A-6F30-4B8C-991C-0908FD987A52}"/>
              </c:ext>
            </c:extLst>
          </c:dPt>
          <c:dPt>
            <c:idx val="9"/>
            <c:bubble3D val="0"/>
            <c:spPr>
              <a:noFill/>
              <a:ln w="19050">
                <a:noFill/>
              </a:ln>
              <a:effectLst/>
            </c:spPr>
            <c:extLst>
              <c:ext xmlns:c16="http://schemas.microsoft.com/office/drawing/2014/chart" uri="{C3380CC4-5D6E-409C-BE32-E72D297353CC}">
                <c16:uniqueId val="{00000001-6F30-4B8C-991C-0908FD987A52}"/>
              </c:ext>
            </c:extLst>
          </c:dPt>
          <c:dLbls>
            <c:dLbl>
              <c:idx val="0"/>
              <c:layout>
                <c:manualLayout>
                  <c:x val="-8.5085598258489464E-2"/>
                  <c:y val="-0.13482453036794712"/>
                </c:manualLayout>
              </c:layout>
              <c:tx>
                <c:rich>
                  <a:bodyPr/>
                  <a:lstStyle/>
                  <a:p>
                    <a:fld id="{CDF59836-9A1E-454B-BD7C-099E21E47545}" type="CELLRANGE">
                      <a:rPr lang="en-US"/>
                      <a:pPr/>
                      <a:t>[CELLRANGE]</a:t>
                    </a:fld>
                    <a:endParaRPr lang="es-A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6F30-4B8C-991C-0908FD987A52}"/>
                </c:ext>
              </c:extLst>
            </c:dLbl>
            <c:dLbl>
              <c:idx val="1"/>
              <c:layout>
                <c:manualLayout>
                  <c:x val="-5.5600511652006551E-2"/>
                  <c:y val="-0.14785496288192873"/>
                </c:manualLayout>
              </c:layout>
              <c:tx>
                <c:rich>
                  <a:bodyPr/>
                  <a:lstStyle/>
                  <a:p>
                    <a:fld id="{808D4070-51FC-4B13-8ED2-26DDFBBFA832}" type="CELLRANGE">
                      <a:rPr lang="en-US"/>
                      <a:pPr/>
                      <a:t>[CELLRANGE]</a:t>
                    </a:fld>
                    <a:endParaRPr lang="es-A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6F30-4B8C-991C-0908FD987A52}"/>
                </c:ext>
              </c:extLst>
            </c:dLbl>
            <c:dLbl>
              <c:idx val="2"/>
              <c:layout>
                <c:manualLayout>
                  <c:x val="-2.5978438023564396E-2"/>
                  <c:y val="-0.16755205506345924"/>
                </c:manualLayout>
              </c:layout>
              <c:tx>
                <c:rich>
                  <a:bodyPr/>
                  <a:lstStyle/>
                  <a:p>
                    <a:fld id="{AC443637-5B83-4A23-BA89-A3ACC029AD9F}" type="CELLRANGE">
                      <a:rPr lang="en-US"/>
                      <a:pPr/>
                      <a:t>[CELLRANGE]</a:t>
                    </a:fld>
                    <a:endParaRPr lang="es-A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6F30-4B8C-991C-0908FD987A52}"/>
                </c:ext>
              </c:extLst>
            </c:dLbl>
            <c:dLbl>
              <c:idx val="3"/>
              <c:layout>
                <c:manualLayout>
                  <c:x val="9.9467920488786714E-3"/>
                  <c:y val="-0.17269273208112118"/>
                </c:manualLayout>
              </c:layout>
              <c:tx>
                <c:rich>
                  <a:bodyPr/>
                  <a:lstStyle/>
                  <a:p>
                    <a:fld id="{A0BC638F-3112-4103-8145-36386BAE96D2}" type="CELLRANGE">
                      <a:rPr lang="en-US"/>
                      <a:pPr/>
                      <a:t>[CELLRANGE]</a:t>
                    </a:fld>
                    <a:endParaRPr lang="es-A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6F30-4B8C-991C-0908FD987A52}"/>
                </c:ext>
              </c:extLst>
            </c:dLbl>
            <c:dLbl>
              <c:idx val="4"/>
              <c:layout>
                <c:manualLayout>
                  <c:x val="4.1753644293142586E-2"/>
                  <c:y val="-0.14999774278452202"/>
                </c:manualLayout>
              </c:layout>
              <c:tx>
                <c:rich>
                  <a:bodyPr/>
                  <a:lstStyle/>
                  <a:p>
                    <a:fld id="{160C99D9-656E-42DB-9A01-FE3390F7D4BC}" type="CELLRANGE">
                      <a:rPr lang="en-US"/>
                      <a:pPr/>
                      <a:t>[CELLRANGE]</a:t>
                    </a:fld>
                    <a:endParaRPr lang="es-A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6F30-4B8C-991C-0908FD987A52}"/>
                </c:ext>
              </c:extLst>
            </c:dLbl>
            <c:dLbl>
              <c:idx val="5"/>
              <c:layout>
                <c:manualLayout>
                  <c:x val="8.1375770524601015E-2"/>
                  <c:y val="-0.10904398000632021"/>
                </c:manualLayout>
              </c:layout>
              <c:tx>
                <c:rich>
                  <a:bodyPr/>
                  <a:lstStyle/>
                  <a:p>
                    <a:fld id="{0C3A6AA3-8590-4171-9C97-896A72956437}" type="CELLRANGE">
                      <a:rPr lang="en-US"/>
                      <a:pPr/>
                      <a:t>[CELLRANGE]</a:t>
                    </a:fld>
                    <a:endParaRPr lang="es-A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6F30-4B8C-991C-0908FD987A52}"/>
                </c:ext>
              </c:extLst>
            </c:dLbl>
            <c:dLbl>
              <c:idx val="6"/>
              <c:layout>
                <c:manualLayout>
                  <c:x val="9.505277397623571E-2"/>
                  <c:y val="-3.9393659429228976E-2"/>
                </c:manualLayout>
              </c:layout>
              <c:tx>
                <c:rich>
                  <a:bodyPr/>
                  <a:lstStyle/>
                  <a:p>
                    <a:fld id="{D816462D-7A05-4A76-ADC8-9D1D9CA57D68}" type="CELLRANGE">
                      <a:rPr lang="en-US"/>
                      <a:pPr/>
                      <a:t>[CELLRANGE]</a:t>
                    </a:fld>
                    <a:endParaRPr lang="es-A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6F30-4B8C-991C-0908FD987A52}"/>
                </c:ext>
              </c:extLst>
            </c:dLbl>
            <c:dLbl>
              <c:idx val="7"/>
              <c:layout>
                <c:manualLayout>
                  <c:x val="8.0137627025325717E-2"/>
                  <c:y val="1.1748544096016698E-2"/>
                </c:manualLayout>
              </c:layout>
              <c:tx>
                <c:rich>
                  <a:bodyPr/>
                  <a:lstStyle/>
                  <a:p>
                    <a:fld id="{8E022AC7-8F56-447C-8B29-F8212923B243}" type="CELLRANGE">
                      <a:rPr lang="en-US"/>
                      <a:pPr/>
                      <a:t>[CELLRANGE]</a:t>
                    </a:fld>
                    <a:endParaRPr lang="es-A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6F30-4B8C-991C-0908FD987A52}"/>
                </c:ext>
              </c:extLst>
            </c:dLbl>
            <c:dLbl>
              <c:idx val="8"/>
              <c:layout>
                <c:manualLayout>
                  <c:x val="8.178695076971354E-2"/>
                  <c:y val="1.4033056133274461E-2"/>
                </c:manualLayout>
              </c:layout>
              <c:tx>
                <c:rich>
                  <a:bodyPr/>
                  <a:lstStyle/>
                  <a:p>
                    <a:fld id="{8D6EEDCB-0C6A-4DAD-A3B3-34F31A5AFDFD}" type="CELLRANGE">
                      <a:rPr lang="en-US"/>
                      <a:pPr/>
                      <a:t>[CELLRANGE]</a:t>
                    </a:fld>
                    <a:endParaRPr lang="es-A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6F30-4B8C-991C-0908FD987A52}"/>
                </c:ext>
              </c:extLst>
            </c:dLbl>
            <c:dLbl>
              <c:idx val="9"/>
              <c:delete val="1"/>
              <c:extLst>
                <c:ext xmlns:c15="http://schemas.microsoft.com/office/drawing/2012/chart" uri="{CE6537A1-D6FC-4f65-9D91-7224C49458BB}"/>
                <c:ext xmlns:c16="http://schemas.microsoft.com/office/drawing/2014/chart" uri="{C3380CC4-5D6E-409C-BE32-E72D297353CC}">
                  <c16:uniqueId val="{00000001-6F30-4B8C-991C-0908FD987A52}"/>
                </c:ext>
              </c:extLst>
            </c:dLbl>
            <c:spPr>
              <a:noFill/>
              <a:ln>
                <a:noFill/>
              </a:ln>
              <a:effectLst/>
            </c:spPr>
            <c:txPr>
              <a:bodyPr rot="0" spcFirstLastPara="1" vertOverflow="overflow" horzOverflow="overflow"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s-AR"/>
              </a:p>
            </c:txPr>
            <c:showLegendKey val="0"/>
            <c:showVal val="0"/>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DataLabelsRange val="1"/>
              </c:ext>
            </c:extLst>
          </c:dLbls>
          <c:val>
            <c:numRef>
              <c:f>Tablero!$W$10:$W$19</c:f>
              <c:numCache>
                <c:formatCode>General</c:formatCode>
                <c:ptCount val="10"/>
                <c:pt idx="0">
                  <c:v>1</c:v>
                </c:pt>
                <c:pt idx="1">
                  <c:v>1</c:v>
                </c:pt>
                <c:pt idx="2">
                  <c:v>1</c:v>
                </c:pt>
                <c:pt idx="3">
                  <c:v>1</c:v>
                </c:pt>
                <c:pt idx="4">
                  <c:v>1</c:v>
                </c:pt>
                <c:pt idx="5">
                  <c:v>1</c:v>
                </c:pt>
                <c:pt idx="6">
                  <c:v>1</c:v>
                </c:pt>
                <c:pt idx="7">
                  <c:v>1</c:v>
                </c:pt>
                <c:pt idx="8">
                  <c:v>1</c:v>
                </c:pt>
                <c:pt idx="9">
                  <c:v>9</c:v>
                </c:pt>
              </c:numCache>
            </c:numRef>
          </c:val>
          <c:extLst>
            <c:ext xmlns:c15="http://schemas.microsoft.com/office/drawing/2012/chart" uri="{02D57815-91ED-43cb-92C2-25804820EDAC}">
              <c15:datalabelsRange>
                <c15:f>Tablero!$V$10:$V$19</c15:f>
                <c15:dlblRangeCache>
                  <c:ptCount val="10"/>
                  <c:pt idx="0">
                    <c:v>10%</c:v>
                  </c:pt>
                  <c:pt idx="1">
                    <c:v>20%</c:v>
                  </c:pt>
                  <c:pt idx="2">
                    <c:v>30%</c:v>
                  </c:pt>
                  <c:pt idx="3">
                    <c:v>40%</c:v>
                  </c:pt>
                  <c:pt idx="4">
                    <c:v>50%</c:v>
                  </c:pt>
                  <c:pt idx="5">
                    <c:v>60%</c:v>
                  </c:pt>
                  <c:pt idx="6">
                    <c:v>70%</c:v>
                  </c:pt>
                  <c:pt idx="7">
                    <c:v>80%</c:v>
                  </c:pt>
                  <c:pt idx="8">
                    <c:v>90%</c:v>
                  </c:pt>
                  <c:pt idx="9">
                    <c:v>100%</c:v>
                  </c:pt>
                </c15:dlblRangeCache>
              </c15:datalabelsRange>
            </c:ext>
            <c:ext xmlns:c16="http://schemas.microsoft.com/office/drawing/2014/chart" uri="{C3380CC4-5D6E-409C-BE32-E72D297353CC}">
              <c16:uniqueId val="{00000000-6F30-4B8C-991C-0908FD987A52}"/>
            </c:ext>
          </c:extLst>
        </c:ser>
        <c:dLbls>
          <c:showLegendKey val="0"/>
          <c:showVal val="0"/>
          <c:showCatName val="0"/>
          <c:showSerName val="0"/>
          <c:showPercent val="0"/>
          <c:showBubbleSize val="0"/>
          <c:showLeaderLines val="0"/>
        </c:dLbls>
        <c:firstSliceAng val="270"/>
        <c:holeSize val="60"/>
      </c:doughnutChart>
      <c:scatterChart>
        <c:scatterStyle val="smoothMarker"/>
        <c:varyColors val="0"/>
        <c:ser>
          <c:idx val="1"/>
          <c:order val="1"/>
          <c:tx>
            <c:v>PUNTOS</c:v>
          </c:tx>
          <c:spPr>
            <a:ln w="38100" cap="rnd">
              <a:solidFill>
                <a:schemeClr val="accent5">
                  <a:lumMod val="60000"/>
                  <a:lumOff val="40000"/>
                </a:schemeClr>
              </a:solidFill>
              <a:round/>
              <a:tailEnd type="triangle"/>
            </a:ln>
            <a:effectLst/>
          </c:spPr>
          <c:marker>
            <c:symbol val="none"/>
          </c:marker>
          <c:xVal>
            <c:numRef>
              <c:f>Tablero!$Z$14:$Z$15</c:f>
              <c:numCache>
                <c:formatCode>General</c:formatCode>
                <c:ptCount val="2"/>
                <c:pt idx="0">
                  <c:v>0</c:v>
                </c:pt>
                <c:pt idx="1">
                  <c:v>-0.83295113021314904</c:v>
                </c:pt>
              </c:numCache>
            </c:numRef>
          </c:xVal>
          <c:yVal>
            <c:numRef>
              <c:f>Tablero!$AA$14:$AA$15</c:f>
              <c:numCache>
                <c:formatCode>General</c:formatCode>
                <c:ptCount val="2"/>
                <c:pt idx="0">
                  <c:v>0</c:v>
                </c:pt>
                <c:pt idx="1">
                  <c:v>0.55334655928869536</c:v>
                </c:pt>
              </c:numCache>
            </c:numRef>
          </c:yVal>
          <c:smooth val="1"/>
          <c:extLst>
            <c:ext xmlns:c16="http://schemas.microsoft.com/office/drawing/2014/chart" uri="{C3380CC4-5D6E-409C-BE32-E72D297353CC}">
              <c16:uniqueId val="{00000014-F45E-4C86-AA5A-661722C4EDC7}"/>
            </c:ext>
          </c:extLst>
        </c:ser>
        <c:ser>
          <c:idx val="2"/>
          <c:order val="2"/>
          <c:tx>
            <c:v>Rentabilidad del PN</c:v>
          </c:tx>
          <c:spPr>
            <a:ln w="38100" cap="rnd">
              <a:solidFill>
                <a:schemeClr val="accent6">
                  <a:lumMod val="75000"/>
                </a:schemeClr>
              </a:solidFill>
              <a:round/>
              <a:tailEnd type="triangle"/>
            </a:ln>
            <a:effectLst/>
          </c:spPr>
          <c:marker>
            <c:symbol val="none"/>
          </c:marker>
          <c:dPt>
            <c:idx val="1"/>
            <c:marker>
              <c:symbol val="none"/>
            </c:marker>
            <c:bubble3D val="0"/>
            <c:spPr>
              <a:ln w="38100" cap="rnd">
                <a:solidFill>
                  <a:schemeClr val="accent6">
                    <a:lumMod val="75000"/>
                  </a:schemeClr>
                </a:solidFill>
                <a:round/>
                <a:tailEnd type="triangle"/>
              </a:ln>
              <a:effectLst/>
            </c:spPr>
            <c:extLst>
              <c:ext xmlns:c16="http://schemas.microsoft.com/office/drawing/2014/chart" uri="{C3380CC4-5D6E-409C-BE32-E72D297353CC}">
                <c16:uniqueId val="{00000014-D71F-4D3D-ACE7-C58AD86DD8E4}"/>
              </c:ext>
            </c:extLst>
          </c:dPt>
          <c:xVal>
            <c:numRef>
              <c:f>Tablero!$AD$14:$AD$15</c:f>
              <c:numCache>
                <c:formatCode>General</c:formatCode>
                <c:ptCount val="2"/>
                <c:pt idx="0">
                  <c:v>0</c:v>
                </c:pt>
                <c:pt idx="1">
                  <c:v>-0.7644417628618243</c:v>
                </c:pt>
              </c:numCache>
            </c:numRef>
          </c:xVal>
          <c:yVal>
            <c:numRef>
              <c:f>Tablero!$AE$14:$AE$15</c:f>
              <c:numCache>
                <c:formatCode>General</c:formatCode>
                <c:ptCount val="2"/>
                <c:pt idx="0">
                  <c:v>0</c:v>
                </c:pt>
                <c:pt idx="1">
                  <c:v>0.64469278822762277</c:v>
                </c:pt>
              </c:numCache>
            </c:numRef>
          </c:yVal>
          <c:smooth val="1"/>
          <c:extLst>
            <c:ext xmlns:c16="http://schemas.microsoft.com/office/drawing/2014/chart" uri="{C3380CC4-5D6E-409C-BE32-E72D297353CC}">
              <c16:uniqueId val="{00000015-4536-415C-B8F6-0A4A24FA9ACD}"/>
            </c:ext>
          </c:extLst>
        </c:ser>
        <c:ser>
          <c:idx val="3"/>
          <c:order val="3"/>
          <c:tx>
            <c:v>Sensiblizador</c:v>
          </c:tx>
          <c:spPr>
            <a:ln w="38100" cap="rnd">
              <a:solidFill>
                <a:schemeClr val="tx1"/>
              </a:solidFill>
              <a:prstDash val="sysDash"/>
              <a:round/>
              <a:headEnd type="oval"/>
              <a:tailEnd type="triangle"/>
            </a:ln>
            <a:effectLst/>
          </c:spPr>
          <c:marker>
            <c:symbol val="none"/>
          </c:marker>
          <c:xVal>
            <c:numRef>
              <c:f>Tablero!$Z$18:$Z$19</c:f>
              <c:numCache>
                <c:formatCode>General</c:formatCode>
                <c:ptCount val="2"/>
                <c:pt idx="0">
                  <c:v>0</c:v>
                </c:pt>
                <c:pt idx="1">
                  <c:v>1.582643986999626E-2</c:v>
                </c:pt>
              </c:numCache>
            </c:numRef>
          </c:xVal>
          <c:yVal>
            <c:numRef>
              <c:f>Tablero!$AA$18:$AA$19</c:f>
              <c:numCache>
                <c:formatCode>General</c:formatCode>
                <c:ptCount val="2"/>
                <c:pt idx="0">
                  <c:v>0</c:v>
                </c:pt>
                <c:pt idx="1">
                  <c:v>0.99987475405724757</c:v>
                </c:pt>
              </c:numCache>
            </c:numRef>
          </c:yVal>
          <c:smooth val="1"/>
          <c:extLst>
            <c:ext xmlns:c16="http://schemas.microsoft.com/office/drawing/2014/chart" uri="{C3380CC4-5D6E-409C-BE32-E72D297353CC}">
              <c16:uniqueId val="{00000014-E40C-4730-8F4C-9DFDDD03B370}"/>
            </c:ext>
          </c:extLst>
        </c:ser>
        <c:dLbls>
          <c:showLegendKey val="0"/>
          <c:showVal val="0"/>
          <c:showCatName val="0"/>
          <c:showSerName val="0"/>
          <c:showPercent val="0"/>
          <c:showBubbleSize val="0"/>
        </c:dLbls>
        <c:axId val="373770328"/>
        <c:axId val="373775248"/>
      </c:scatterChart>
      <c:valAx>
        <c:axId val="373775248"/>
        <c:scaling>
          <c:orientation val="minMax"/>
          <c:max val="1"/>
          <c:min val="-1"/>
        </c:scaling>
        <c:delete val="1"/>
        <c:axPos val="l"/>
        <c:numFmt formatCode="General" sourceLinked="1"/>
        <c:majorTickMark val="out"/>
        <c:minorTickMark val="none"/>
        <c:tickLblPos val="nextTo"/>
        <c:crossAx val="373770328"/>
        <c:crosses val="autoZero"/>
        <c:crossBetween val="midCat"/>
      </c:valAx>
      <c:valAx>
        <c:axId val="373770328"/>
        <c:scaling>
          <c:orientation val="minMax"/>
          <c:max val="1"/>
          <c:min val="-1"/>
        </c:scaling>
        <c:delete val="1"/>
        <c:axPos val="b"/>
        <c:numFmt formatCode="General" sourceLinked="1"/>
        <c:majorTickMark val="out"/>
        <c:minorTickMark val="none"/>
        <c:tickLblPos val="nextTo"/>
        <c:crossAx val="373775248"/>
        <c:crosses val="autoZero"/>
        <c:crossBetween val="midCat"/>
      </c:valAx>
      <c:spPr>
        <a:noFill/>
        <a:ln>
          <a:noFill/>
        </a:ln>
        <a:effectLst>
          <a:glow>
            <a:schemeClr val="accent1"/>
          </a:glow>
        </a:effectLst>
      </c:spPr>
    </c:plotArea>
    <c:plotVisOnly val="1"/>
    <c:dispBlanksAs val="gap"/>
    <c:showDLblsOverMax val="0"/>
  </c:chart>
  <c:spPr>
    <a:noFill/>
    <a:ln w="9525" cap="flat" cmpd="sng" algn="ctr">
      <a:noFill/>
      <a:round/>
    </a:ln>
    <a:effectLst/>
  </c:spPr>
  <c:txPr>
    <a:bodyPr/>
    <a:lstStyle/>
    <a:p>
      <a:pPr>
        <a:defRPr/>
      </a:pPr>
      <a:endParaRPr lang="es-A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tx>
            <c:strRef>
              <c:f>Tablero!$AF$9</c:f>
              <c:strCache>
                <c:ptCount val="1"/>
                <c:pt idx="0">
                  <c:v>Margen de Ventas (Utilidad / Ventas)</c:v>
                </c:pt>
              </c:strCache>
            </c:strRef>
          </c:tx>
          <c:spPr>
            <a:solidFill>
              <a:schemeClr val="accent1"/>
            </a:solidFill>
          </c:spPr>
          <c:explosion val="2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D19-43B2-A802-68F29F5CA947}"/>
              </c:ext>
            </c:extLst>
          </c:dPt>
          <c:dPt>
            <c:idx val="1"/>
            <c:bubble3D val="0"/>
            <c:spPr>
              <a:solidFill>
                <a:schemeClr val="accent1"/>
              </a:solidFill>
              <a:ln w="19050">
                <a:solidFill>
                  <a:schemeClr val="lt1"/>
                </a:solidFill>
              </a:ln>
              <a:effectLst/>
            </c:spPr>
            <c:extLst>
              <c:ext xmlns:c16="http://schemas.microsoft.com/office/drawing/2014/chart" uri="{C3380CC4-5D6E-409C-BE32-E72D297353CC}">
                <c16:uniqueId val="{00000003-9D19-43B2-A802-68F29F5CA947}"/>
              </c:ext>
            </c:extLst>
          </c:dPt>
          <c:dPt>
            <c:idx val="2"/>
            <c:bubble3D val="0"/>
            <c:spPr>
              <a:solidFill>
                <a:schemeClr val="accent1"/>
              </a:solidFill>
              <a:ln w="19050">
                <a:solidFill>
                  <a:schemeClr val="lt1"/>
                </a:solidFill>
              </a:ln>
              <a:effectLst/>
            </c:spPr>
            <c:extLst>
              <c:ext xmlns:c16="http://schemas.microsoft.com/office/drawing/2014/chart" uri="{C3380CC4-5D6E-409C-BE32-E72D297353CC}">
                <c16:uniqueId val="{00000005-9D19-43B2-A802-68F29F5CA947}"/>
              </c:ext>
            </c:extLst>
          </c:dPt>
          <c:dPt>
            <c:idx val="3"/>
            <c:bubble3D val="0"/>
            <c:spPr>
              <a:solidFill>
                <a:schemeClr val="accent1"/>
              </a:solidFill>
              <a:ln w="19050">
                <a:solidFill>
                  <a:schemeClr val="lt1"/>
                </a:solidFill>
              </a:ln>
              <a:effectLst/>
            </c:spPr>
            <c:extLst>
              <c:ext xmlns:c16="http://schemas.microsoft.com/office/drawing/2014/chart" uri="{C3380CC4-5D6E-409C-BE32-E72D297353CC}">
                <c16:uniqueId val="{00000007-9D19-43B2-A802-68F29F5CA947}"/>
              </c:ext>
            </c:extLst>
          </c:dPt>
          <c:dPt>
            <c:idx val="4"/>
            <c:bubble3D val="0"/>
            <c:spPr>
              <a:solidFill>
                <a:schemeClr val="accent1"/>
              </a:solidFill>
              <a:ln w="19050">
                <a:solidFill>
                  <a:schemeClr val="lt1"/>
                </a:solidFill>
              </a:ln>
              <a:effectLst/>
            </c:spPr>
            <c:extLst>
              <c:ext xmlns:c16="http://schemas.microsoft.com/office/drawing/2014/chart" uri="{C3380CC4-5D6E-409C-BE32-E72D297353CC}">
                <c16:uniqueId val="{00000009-9D19-43B2-A802-68F29F5CA947}"/>
              </c:ext>
            </c:extLst>
          </c:dPt>
          <c:dPt>
            <c:idx val="5"/>
            <c:bubble3D val="0"/>
            <c:spPr>
              <a:solidFill>
                <a:schemeClr val="accent1"/>
              </a:solidFill>
              <a:ln w="19050">
                <a:solidFill>
                  <a:schemeClr val="lt1"/>
                </a:solidFill>
              </a:ln>
              <a:effectLst/>
            </c:spPr>
            <c:extLst>
              <c:ext xmlns:c16="http://schemas.microsoft.com/office/drawing/2014/chart" uri="{C3380CC4-5D6E-409C-BE32-E72D297353CC}">
                <c16:uniqueId val="{0000000B-9D19-43B2-A802-68F29F5CA947}"/>
              </c:ext>
            </c:extLst>
          </c:dPt>
          <c:dPt>
            <c:idx val="6"/>
            <c:bubble3D val="0"/>
            <c:spPr>
              <a:solidFill>
                <a:schemeClr val="accent1"/>
              </a:solidFill>
              <a:ln w="19050">
                <a:solidFill>
                  <a:schemeClr val="lt1"/>
                </a:solidFill>
              </a:ln>
              <a:effectLst/>
            </c:spPr>
            <c:extLst>
              <c:ext xmlns:c16="http://schemas.microsoft.com/office/drawing/2014/chart" uri="{C3380CC4-5D6E-409C-BE32-E72D297353CC}">
                <c16:uniqueId val="{0000000D-9D19-43B2-A802-68F29F5CA947}"/>
              </c:ext>
            </c:extLst>
          </c:dPt>
          <c:dPt>
            <c:idx val="7"/>
            <c:bubble3D val="0"/>
            <c:spPr>
              <a:solidFill>
                <a:schemeClr val="accent1"/>
              </a:solidFill>
              <a:ln w="19050">
                <a:solidFill>
                  <a:schemeClr val="lt1"/>
                </a:solidFill>
              </a:ln>
              <a:effectLst/>
            </c:spPr>
            <c:extLst>
              <c:ext xmlns:c16="http://schemas.microsoft.com/office/drawing/2014/chart" uri="{C3380CC4-5D6E-409C-BE32-E72D297353CC}">
                <c16:uniqueId val="{0000000F-9D19-43B2-A802-68F29F5CA947}"/>
              </c:ext>
            </c:extLst>
          </c:dPt>
          <c:dPt>
            <c:idx val="8"/>
            <c:bubble3D val="0"/>
            <c:spPr>
              <a:solidFill>
                <a:schemeClr val="accent1"/>
              </a:solidFill>
              <a:ln w="19050">
                <a:solidFill>
                  <a:schemeClr val="lt1"/>
                </a:solidFill>
              </a:ln>
              <a:effectLst/>
            </c:spPr>
            <c:extLst>
              <c:ext xmlns:c16="http://schemas.microsoft.com/office/drawing/2014/chart" uri="{C3380CC4-5D6E-409C-BE32-E72D297353CC}">
                <c16:uniqueId val="{00000011-9D19-43B2-A802-68F29F5CA947}"/>
              </c:ext>
            </c:extLst>
          </c:dPt>
          <c:dPt>
            <c:idx val="9"/>
            <c:bubble3D val="0"/>
            <c:spPr>
              <a:solidFill>
                <a:schemeClr val="accent1"/>
              </a:solidFill>
              <a:ln w="19050">
                <a:solidFill>
                  <a:schemeClr val="lt1"/>
                </a:solidFill>
              </a:ln>
              <a:effectLst/>
            </c:spPr>
            <c:extLst>
              <c:ext xmlns:c16="http://schemas.microsoft.com/office/drawing/2014/chart" uri="{C3380CC4-5D6E-409C-BE32-E72D297353CC}">
                <c16:uniqueId val="{00000013-9D19-43B2-A802-68F29F5CA947}"/>
              </c:ext>
            </c:extLst>
          </c:dPt>
          <c:dPt>
            <c:idx val="10"/>
            <c:bubble3D val="0"/>
            <c:spPr>
              <a:solidFill>
                <a:schemeClr val="accent1"/>
              </a:solidFill>
              <a:ln w="19050">
                <a:solidFill>
                  <a:schemeClr val="lt1"/>
                </a:solidFill>
              </a:ln>
              <a:effectLst/>
            </c:spPr>
            <c:extLst>
              <c:ext xmlns:c16="http://schemas.microsoft.com/office/drawing/2014/chart" uri="{C3380CC4-5D6E-409C-BE32-E72D297353CC}">
                <c16:uniqueId val="{00000015-9D19-43B2-A802-68F29F5CA947}"/>
              </c:ext>
            </c:extLst>
          </c:dPt>
          <c:dPt>
            <c:idx val="11"/>
            <c:bubble3D val="0"/>
            <c:spPr>
              <a:solidFill>
                <a:schemeClr val="accent1"/>
              </a:solidFill>
              <a:ln w="19050">
                <a:solidFill>
                  <a:schemeClr val="lt1"/>
                </a:solidFill>
              </a:ln>
              <a:effectLst/>
            </c:spPr>
            <c:extLst>
              <c:ext xmlns:c16="http://schemas.microsoft.com/office/drawing/2014/chart" uri="{C3380CC4-5D6E-409C-BE32-E72D297353CC}">
                <c16:uniqueId val="{00000017-9D19-43B2-A802-68F29F5CA947}"/>
              </c:ext>
            </c:extLst>
          </c:dPt>
          <c:dPt>
            <c:idx val="12"/>
            <c:bubble3D val="0"/>
            <c:spPr>
              <a:solidFill>
                <a:schemeClr val="accent1"/>
              </a:solidFill>
              <a:ln w="19050">
                <a:solidFill>
                  <a:schemeClr val="lt1"/>
                </a:solidFill>
              </a:ln>
              <a:effectLst/>
            </c:spPr>
            <c:extLst>
              <c:ext xmlns:c16="http://schemas.microsoft.com/office/drawing/2014/chart" uri="{C3380CC4-5D6E-409C-BE32-E72D297353CC}">
                <c16:uniqueId val="{00000019-9D19-43B2-A802-68F29F5CA947}"/>
              </c:ext>
            </c:extLst>
          </c:dPt>
          <c:dPt>
            <c:idx val="13"/>
            <c:bubble3D val="0"/>
            <c:spPr>
              <a:solidFill>
                <a:schemeClr val="accent1"/>
              </a:solidFill>
              <a:ln w="19050">
                <a:solidFill>
                  <a:schemeClr val="lt1"/>
                </a:solidFill>
              </a:ln>
              <a:effectLst/>
            </c:spPr>
            <c:extLst>
              <c:ext xmlns:c16="http://schemas.microsoft.com/office/drawing/2014/chart" uri="{C3380CC4-5D6E-409C-BE32-E72D297353CC}">
                <c16:uniqueId val="{0000001B-9D19-43B2-A802-68F29F5CA947}"/>
              </c:ext>
            </c:extLst>
          </c:dPt>
          <c:dPt>
            <c:idx val="14"/>
            <c:bubble3D val="0"/>
            <c:spPr>
              <a:solidFill>
                <a:schemeClr val="accent1"/>
              </a:solidFill>
              <a:ln w="19050">
                <a:solidFill>
                  <a:schemeClr val="lt1"/>
                </a:solidFill>
              </a:ln>
              <a:effectLst/>
            </c:spPr>
            <c:extLst>
              <c:ext xmlns:c16="http://schemas.microsoft.com/office/drawing/2014/chart" uri="{C3380CC4-5D6E-409C-BE32-E72D297353CC}">
                <c16:uniqueId val="{00000002-02AE-4D2D-8BAA-66C932E8A74D}"/>
              </c:ext>
            </c:extLst>
          </c:dPt>
          <c:dPt>
            <c:idx val="15"/>
            <c:bubble3D val="0"/>
            <c:spPr>
              <a:solidFill>
                <a:schemeClr val="accent1"/>
              </a:solidFill>
              <a:ln w="19050">
                <a:solidFill>
                  <a:schemeClr val="lt1"/>
                </a:solidFill>
              </a:ln>
              <a:effectLst/>
            </c:spPr>
            <c:extLst>
              <c:ext xmlns:c16="http://schemas.microsoft.com/office/drawing/2014/chart" uri="{C3380CC4-5D6E-409C-BE32-E72D297353CC}">
                <c16:uniqueId val="{0000001F-9D19-43B2-A802-68F29F5CA947}"/>
              </c:ext>
            </c:extLst>
          </c:dPt>
          <c:dPt>
            <c:idx val="16"/>
            <c:bubble3D val="0"/>
            <c:spPr>
              <a:solidFill>
                <a:schemeClr val="accent1"/>
              </a:solidFill>
              <a:ln w="19050">
                <a:solidFill>
                  <a:schemeClr val="lt1"/>
                </a:solidFill>
              </a:ln>
              <a:effectLst/>
            </c:spPr>
            <c:extLst>
              <c:ext xmlns:c16="http://schemas.microsoft.com/office/drawing/2014/chart" uri="{C3380CC4-5D6E-409C-BE32-E72D297353CC}">
                <c16:uniqueId val="{00000021-9D19-43B2-A802-68F29F5CA947}"/>
              </c:ext>
            </c:extLst>
          </c:dPt>
          <c:dPt>
            <c:idx val="17"/>
            <c:bubble3D val="0"/>
            <c:spPr>
              <a:solidFill>
                <a:schemeClr val="accent1"/>
              </a:solidFill>
              <a:ln w="19050">
                <a:solidFill>
                  <a:schemeClr val="lt1"/>
                </a:solidFill>
              </a:ln>
              <a:effectLst/>
            </c:spPr>
            <c:extLst>
              <c:ext xmlns:c16="http://schemas.microsoft.com/office/drawing/2014/chart" uri="{C3380CC4-5D6E-409C-BE32-E72D297353CC}">
                <c16:uniqueId val="{00000023-9D19-43B2-A802-68F29F5CA947}"/>
              </c:ext>
            </c:extLst>
          </c:dPt>
          <c:dPt>
            <c:idx val="18"/>
            <c:bubble3D val="0"/>
            <c:spPr>
              <a:solidFill>
                <a:schemeClr val="accent1"/>
              </a:solidFill>
              <a:ln w="19050">
                <a:solidFill>
                  <a:schemeClr val="lt1"/>
                </a:solidFill>
              </a:ln>
              <a:effectLst/>
            </c:spPr>
            <c:extLst>
              <c:ext xmlns:c16="http://schemas.microsoft.com/office/drawing/2014/chart" uri="{C3380CC4-5D6E-409C-BE32-E72D297353CC}">
                <c16:uniqueId val="{00000025-9D19-43B2-A802-68F29F5CA947}"/>
              </c:ext>
            </c:extLst>
          </c:dPt>
          <c:dPt>
            <c:idx val="19"/>
            <c:bubble3D val="0"/>
            <c:spPr>
              <a:solidFill>
                <a:schemeClr val="accent1"/>
              </a:solidFill>
              <a:ln w="19050">
                <a:solidFill>
                  <a:schemeClr val="lt1"/>
                </a:solidFill>
              </a:ln>
              <a:effectLst/>
            </c:spPr>
            <c:extLst>
              <c:ext xmlns:c16="http://schemas.microsoft.com/office/drawing/2014/chart" uri="{C3380CC4-5D6E-409C-BE32-E72D297353CC}">
                <c16:uniqueId val="{00000027-9D19-43B2-A802-68F29F5CA947}"/>
              </c:ext>
            </c:extLst>
          </c:dPt>
          <c:val>
            <c:numLit>
              <c:formatCode>General</c:formatCode>
              <c:ptCount val="2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numLit>
          </c:val>
          <c:extLst>
            <c:ext xmlns:c16="http://schemas.microsoft.com/office/drawing/2014/chart" uri="{C3380CC4-5D6E-409C-BE32-E72D297353CC}">
              <c16:uniqueId val="{00000001-02AE-4D2D-8BAA-66C932E8A74D}"/>
            </c:ext>
          </c:extLst>
        </c:ser>
        <c:dLbls>
          <c:showLegendKey val="0"/>
          <c:showVal val="0"/>
          <c:showCatName val="0"/>
          <c:showSerName val="0"/>
          <c:showPercent val="0"/>
          <c:showBubbleSize val="0"/>
          <c:showLeaderLines val="1"/>
        </c:dLbls>
        <c:firstSliceAng val="0"/>
        <c:holeSize val="65"/>
      </c:doughnutChart>
      <c:doughnutChart>
        <c:varyColors val="1"/>
        <c:ser>
          <c:idx val="1"/>
          <c:order val="1"/>
          <c:tx>
            <c:strRef>
              <c:f>Tablero!$AF$9</c:f>
              <c:strCache>
                <c:ptCount val="1"/>
                <c:pt idx="0">
                  <c:v>Margen de Ventas (Utilidad / Ventas)</c:v>
                </c:pt>
              </c:strCache>
            </c:strRef>
          </c:tx>
          <c:dPt>
            <c:idx val="0"/>
            <c:bubble3D val="0"/>
            <c:spPr>
              <a:noFill/>
              <a:ln w="19050">
                <a:solidFill>
                  <a:schemeClr val="lt1"/>
                </a:solidFill>
              </a:ln>
              <a:effectLst/>
            </c:spPr>
            <c:extLst>
              <c:ext xmlns:c16="http://schemas.microsoft.com/office/drawing/2014/chart" uri="{C3380CC4-5D6E-409C-BE32-E72D297353CC}">
                <c16:uniqueId val="{00000030-02AE-4D2D-8BAA-66C932E8A74D}"/>
              </c:ext>
            </c:extLst>
          </c:dPt>
          <c:dPt>
            <c:idx val="1"/>
            <c:bubble3D val="0"/>
            <c:spPr>
              <a:solidFill>
                <a:schemeClr val="bg1">
                  <a:alpha val="70000"/>
                </a:schemeClr>
              </a:solidFill>
              <a:ln w="19050">
                <a:solidFill>
                  <a:schemeClr val="lt1"/>
                </a:solidFill>
              </a:ln>
              <a:effectLst/>
            </c:spPr>
            <c:extLst>
              <c:ext xmlns:c16="http://schemas.microsoft.com/office/drawing/2014/chart" uri="{C3380CC4-5D6E-409C-BE32-E72D297353CC}">
                <c16:uniqueId val="{00000031-02AE-4D2D-8BAA-66C932E8A74D}"/>
              </c:ext>
            </c:extLst>
          </c:dPt>
          <c:val>
            <c:numRef>
              <c:f>Tablero!$AG$9:$AH$9</c:f>
              <c:numCache>
                <c:formatCode>#,##0.00</c:formatCode>
                <c:ptCount val="2"/>
                <c:pt idx="0">
                  <c:v>0.26529795368445552</c:v>
                </c:pt>
                <c:pt idx="1">
                  <c:v>0.73470204631554448</c:v>
                </c:pt>
              </c:numCache>
            </c:numRef>
          </c:val>
          <c:extLst>
            <c:ext xmlns:c16="http://schemas.microsoft.com/office/drawing/2014/chart" uri="{C3380CC4-5D6E-409C-BE32-E72D297353CC}">
              <c16:uniqueId val="{0000002E-02AE-4D2D-8BAA-66C932E8A74D}"/>
            </c:ext>
          </c:extLst>
        </c:ser>
        <c:dLbls>
          <c:showLegendKey val="0"/>
          <c:showVal val="0"/>
          <c:showCatName val="0"/>
          <c:showSerName val="0"/>
          <c:showPercent val="0"/>
          <c:showBubbleSize val="0"/>
          <c:showLeaderLines val="1"/>
        </c:dLbls>
        <c:firstSliceAng val="0"/>
        <c:holeSize val="65"/>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s-A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tx>
            <c:strRef>
              <c:f>Tablero!$AF$10</c:f>
              <c:strCache>
                <c:ptCount val="1"/>
                <c:pt idx="0">
                  <c:v>Rotación (Ventas / Activo)</c:v>
                </c:pt>
              </c:strCache>
            </c:strRef>
          </c:tx>
          <c:spPr>
            <a:solidFill>
              <a:schemeClr val="accent1"/>
            </a:solidFill>
          </c:spPr>
          <c:explosion val="2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7AF-4CB4-AF35-756E5AAA57B4}"/>
              </c:ext>
            </c:extLst>
          </c:dPt>
          <c:dPt>
            <c:idx val="1"/>
            <c:bubble3D val="0"/>
            <c:spPr>
              <a:solidFill>
                <a:schemeClr val="accent1"/>
              </a:solidFill>
              <a:ln w="19050">
                <a:solidFill>
                  <a:schemeClr val="lt1"/>
                </a:solidFill>
              </a:ln>
              <a:effectLst/>
            </c:spPr>
            <c:extLst>
              <c:ext xmlns:c16="http://schemas.microsoft.com/office/drawing/2014/chart" uri="{C3380CC4-5D6E-409C-BE32-E72D297353CC}">
                <c16:uniqueId val="{00000003-B7AF-4CB4-AF35-756E5AAA57B4}"/>
              </c:ext>
            </c:extLst>
          </c:dPt>
          <c:dPt>
            <c:idx val="2"/>
            <c:bubble3D val="0"/>
            <c:spPr>
              <a:solidFill>
                <a:schemeClr val="accent1"/>
              </a:solidFill>
              <a:ln w="19050">
                <a:solidFill>
                  <a:schemeClr val="lt1"/>
                </a:solidFill>
              </a:ln>
              <a:effectLst/>
            </c:spPr>
            <c:extLst>
              <c:ext xmlns:c16="http://schemas.microsoft.com/office/drawing/2014/chart" uri="{C3380CC4-5D6E-409C-BE32-E72D297353CC}">
                <c16:uniqueId val="{00000005-B7AF-4CB4-AF35-756E5AAA57B4}"/>
              </c:ext>
            </c:extLst>
          </c:dPt>
          <c:dPt>
            <c:idx val="3"/>
            <c:bubble3D val="0"/>
            <c:spPr>
              <a:solidFill>
                <a:schemeClr val="accent1"/>
              </a:solidFill>
              <a:ln w="19050">
                <a:solidFill>
                  <a:schemeClr val="lt1"/>
                </a:solidFill>
              </a:ln>
              <a:effectLst/>
            </c:spPr>
            <c:extLst>
              <c:ext xmlns:c16="http://schemas.microsoft.com/office/drawing/2014/chart" uri="{C3380CC4-5D6E-409C-BE32-E72D297353CC}">
                <c16:uniqueId val="{00000007-B7AF-4CB4-AF35-756E5AAA57B4}"/>
              </c:ext>
            </c:extLst>
          </c:dPt>
          <c:dPt>
            <c:idx val="4"/>
            <c:bubble3D val="0"/>
            <c:spPr>
              <a:solidFill>
                <a:schemeClr val="accent1"/>
              </a:solidFill>
              <a:ln w="19050">
                <a:solidFill>
                  <a:schemeClr val="lt1"/>
                </a:solidFill>
              </a:ln>
              <a:effectLst/>
            </c:spPr>
            <c:extLst>
              <c:ext xmlns:c16="http://schemas.microsoft.com/office/drawing/2014/chart" uri="{C3380CC4-5D6E-409C-BE32-E72D297353CC}">
                <c16:uniqueId val="{00000009-B7AF-4CB4-AF35-756E5AAA57B4}"/>
              </c:ext>
            </c:extLst>
          </c:dPt>
          <c:dPt>
            <c:idx val="5"/>
            <c:bubble3D val="0"/>
            <c:spPr>
              <a:solidFill>
                <a:schemeClr val="accent1"/>
              </a:solidFill>
              <a:ln w="19050">
                <a:solidFill>
                  <a:schemeClr val="lt1"/>
                </a:solidFill>
              </a:ln>
              <a:effectLst/>
            </c:spPr>
            <c:extLst>
              <c:ext xmlns:c16="http://schemas.microsoft.com/office/drawing/2014/chart" uri="{C3380CC4-5D6E-409C-BE32-E72D297353CC}">
                <c16:uniqueId val="{0000000B-B7AF-4CB4-AF35-756E5AAA57B4}"/>
              </c:ext>
            </c:extLst>
          </c:dPt>
          <c:dPt>
            <c:idx val="6"/>
            <c:bubble3D val="0"/>
            <c:spPr>
              <a:solidFill>
                <a:schemeClr val="accent1"/>
              </a:solidFill>
              <a:ln w="19050">
                <a:solidFill>
                  <a:schemeClr val="lt1"/>
                </a:solidFill>
              </a:ln>
              <a:effectLst/>
            </c:spPr>
            <c:extLst>
              <c:ext xmlns:c16="http://schemas.microsoft.com/office/drawing/2014/chart" uri="{C3380CC4-5D6E-409C-BE32-E72D297353CC}">
                <c16:uniqueId val="{0000000D-B7AF-4CB4-AF35-756E5AAA57B4}"/>
              </c:ext>
            </c:extLst>
          </c:dPt>
          <c:dPt>
            <c:idx val="7"/>
            <c:bubble3D val="0"/>
            <c:spPr>
              <a:solidFill>
                <a:schemeClr val="accent1"/>
              </a:solidFill>
              <a:ln w="19050">
                <a:solidFill>
                  <a:schemeClr val="lt1"/>
                </a:solidFill>
              </a:ln>
              <a:effectLst/>
            </c:spPr>
            <c:extLst>
              <c:ext xmlns:c16="http://schemas.microsoft.com/office/drawing/2014/chart" uri="{C3380CC4-5D6E-409C-BE32-E72D297353CC}">
                <c16:uniqueId val="{0000000F-B7AF-4CB4-AF35-756E5AAA57B4}"/>
              </c:ext>
            </c:extLst>
          </c:dPt>
          <c:dPt>
            <c:idx val="8"/>
            <c:bubble3D val="0"/>
            <c:spPr>
              <a:solidFill>
                <a:schemeClr val="accent1"/>
              </a:solidFill>
              <a:ln w="19050">
                <a:solidFill>
                  <a:schemeClr val="lt1"/>
                </a:solidFill>
              </a:ln>
              <a:effectLst/>
            </c:spPr>
            <c:extLst>
              <c:ext xmlns:c16="http://schemas.microsoft.com/office/drawing/2014/chart" uri="{C3380CC4-5D6E-409C-BE32-E72D297353CC}">
                <c16:uniqueId val="{00000011-B7AF-4CB4-AF35-756E5AAA57B4}"/>
              </c:ext>
            </c:extLst>
          </c:dPt>
          <c:dPt>
            <c:idx val="9"/>
            <c:bubble3D val="0"/>
            <c:spPr>
              <a:solidFill>
                <a:schemeClr val="accent1"/>
              </a:solidFill>
              <a:ln w="19050">
                <a:solidFill>
                  <a:schemeClr val="lt1"/>
                </a:solidFill>
              </a:ln>
              <a:effectLst/>
            </c:spPr>
            <c:extLst>
              <c:ext xmlns:c16="http://schemas.microsoft.com/office/drawing/2014/chart" uri="{C3380CC4-5D6E-409C-BE32-E72D297353CC}">
                <c16:uniqueId val="{00000013-B7AF-4CB4-AF35-756E5AAA57B4}"/>
              </c:ext>
            </c:extLst>
          </c:dPt>
          <c:dPt>
            <c:idx val="10"/>
            <c:bubble3D val="0"/>
            <c:spPr>
              <a:solidFill>
                <a:schemeClr val="accent1"/>
              </a:solidFill>
              <a:ln w="19050">
                <a:solidFill>
                  <a:schemeClr val="lt1"/>
                </a:solidFill>
              </a:ln>
              <a:effectLst/>
            </c:spPr>
            <c:extLst>
              <c:ext xmlns:c16="http://schemas.microsoft.com/office/drawing/2014/chart" uri="{C3380CC4-5D6E-409C-BE32-E72D297353CC}">
                <c16:uniqueId val="{00000015-B7AF-4CB4-AF35-756E5AAA57B4}"/>
              </c:ext>
            </c:extLst>
          </c:dPt>
          <c:dPt>
            <c:idx val="11"/>
            <c:bubble3D val="0"/>
            <c:spPr>
              <a:solidFill>
                <a:schemeClr val="accent1"/>
              </a:solidFill>
              <a:ln w="19050">
                <a:solidFill>
                  <a:schemeClr val="lt1"/>
                </a:solidFill>
              </a:ln>
              <a:effectLst/>
            </c:spPr>
            <c:extLst>
              <c:ext xmlns:c16="http://schemas.microsoft.com/office/drawing/2014/chart" uri="{C3380CC4-5D6E-409C-BE32-E72D297353CC}">
                <c16:uniqueId val="{00000017-B7AF-4CB4-AF35-756E5AAA57B4}"/>
              </c:ext>
            </c:extLst>
          </c:dPt>
          <c:dPt>
            <c:idx val="12"/>
            <c:bubble3D val="0"/>
            <c:spPr>
              <a:solidFill>
                <a:schemeClr val="accent1"/>
              </a:solidFill>
              <a:ln w="19050">
                <a:solidFill>
                  <a:schemeClr val="lt1"/>
                </a:solidFill>
              </a:ln>
              <a:effectLst/>
            </c:spPr>
            <c:extLst>
              <c:ext xmlns:c16="http://schemas.microsoft.com/office/drawing/2014/chart" uri="{C3380CC4-5D6E-409C-BE32-E72D297353CC}">
                <c16:uniqueId val="{00000019-B7AF-4CB4-AF35-756E5AAA57B4}"/>
              </c:ext>
            </c:extLst>
          </c:dPt>
          <c:dPt>
            <c:idx val="13"/>
            <c:bubble3D val="0"/>
            <c:spPr>
              <a:solidFill>
                <a:schemeClr val="accent1"/>
              </a:solidFill>
              <a:ln w="19050">
                <a:solidFill>
                  <a:schemeClr val="lt1"/>
                </a:solidFill>
              </a:ln>
              <a:effectLst/>
            </c:spPr>
            <c:extLst>
              <c:ext xmlns:c16="http://schemas.microsoft.com/office/drawing/2014/chart" uri="{C3380CC4-5D6E-409C-BE32-E72D297353CC}">
                <c16:uniqueId val="{0000001B-B7AF-4CB4-AF35-756E5AAA57B4}"/>
              </c:ext>
            </c:extLst>
          </c:dPt>
          <c:dPt>
            <c:idx val="14"/>
            <c:bubble3D val="0"/>
            <c:spPr>
              <a:solidFill>
                <a:schemeClr val="accent1"/>
              </a:solidFill>
              <a:ln w="19050">
                <a:solidFill>
                  <a:schemeClr val="lt1"/>
                </a:solidFill>
              </a:ln>
              <a:effectLst/>
            </c:spPr>
            <c:extLst>
              <c:ext xmlns:c16="http://schemas.microsoft.com/office/drawing/2014/chart" uri="{C3380CC4-5D6E-409C-BE32-E72D297353CC}">
                <c16:uniqueId val="{0000001D-B7AF-4CB4-AF35-756E5AAA57B4}"/>
              </c:ext>
            </c:extLst>
          </c:dPt>
          <c:dPt>
            <c:idx val="15"/>
            <c:bubble3D val="0"/>
            <c:spPr>
              <a:solidFill>
                <a:schemeClr val="accent1"/>
              </a:solidFill>
              <a:ln w="19050">
                <a:solidFill>
                  <a:schemeClr val="lt1"/>
                </a:solidFill>
              </a:ln>
              <a:effectLst/>
            </c:spPr>
            <c:extLst>
              <c:ext xmlns:c16="http://schemas.microsoft.com/office/drawing/2014/chart" uri="{C3380CC4-5D6E-409C-BE32-E72D297353CC}">
                <c16:uniqueId val="{0000001F-B7AF-4CB4-AF35-756E5AAA57B4}"/>
              </c:ext>
            </c:extLst>
          </c:dPt>
          <c:dPt>
            <c:idx val="16"/>
            <c:bubble3D val="0"/>
            <c:spPr>
              <a:solidFill>
                <a:schemeClr val="accent1"/>
              </a:solidFill>
              <a:ln w="19050">
                <a:solidFill>
                  <a:schemeClr val="lt1"/>
                </a:solidFill>
              </a:ln>
              <a:effectLst/>
            </c:spPr>
            <c:extLst>
              <c:ext xmlns:c16="http://schemas.microsoft.com/office/drawing/2014/chart" uri="{C3380CC4-5D6E-409C-BE32-E72D297353CC}">
                <c16:uniqueId val="{00000021-B7AF-4CB4-AF35-756E5AAA57B4}"/>
              </c:ext>
            </c:extLst>
          </c:dPt>
          <c:dPt>
            <c:idx val="17"/>
            <c:bubble3D val="0"/>
            <c:spPr>
              <a:solidFill>
                <a:schemeClr val="accent1"/>
              </a:solidFill>
              <a:ln w="19050">
                <a:solidFill>
                  <a:schemeClr val="lt1"/>
                </a:solidFill>
              </a:ln>
              <a:effectLst/>
            </c:spPr>
            <c:extLst>
              <c:ext xmlns:c16="http://schemas.microsoft.com/office/drawing/2014/chart" uri="{C3380CC4-5D6E-409C-BE32-E72D297353CC}">
                <c16:uniqueId val="{00000023-B7AF-4CB4-AF35-756E5AAA57B4}"/>
              </c:ext>
            </c:extLst>
          </c:dPt>
          <c:dPt>
            <c:idx val="18"/>
            <c:bubble3D val="0"/>
            <c:spPr>
              <a:solidFill>
                <a:schemeClr val="accent1"/>
              </a:solidFill>
              <a:ln w="19050">
                <a:solidFill>
                  <a:schemeClr val="lt1"/>
                </a:solidFill>
              </a:ln>
              <a:effectLst/>
            </c:spPr>
            <c:extLst>
              <c:ext xmlns:c16="http://schemas.microsoft.com/office/drawing/2014/chart" uri="{C3380CC4-5D6E-409C-BE32-E72D297353CC}">
                <c16:uniqueId val="{00000025-B7AF-4CB4-AF35-756E5AAA57B4}"/>
              </c:ext>
            </c:extLst>
          </c:dPt>
          <c:dPt>
            <c:idx val="19"/>
            <c:bubble3D val="0"/>
            <c:spPr>
              <a:solidFill>
                <a:schemeClr val="accent1"/>
              </a:solidFill>
              <a:ln w="19050">
                <a:solidFill>
                  <a:schemeClr val="lt1"/>
                </a:solidFill>
              </a:ln>
              <a:effectLst/>
            </c:spPr>
            <c:extLst>
              <c:ext xmlns:c16="http://schemas.microsoft.com/office/drawing/2014/chart" uri="{C3380CC4-5D6E-409C-BE32-E72D297353CC}">
                <c16:uniqueId val="{00000027-B7AF-4CB4-AF35-756E5AAA57B4}"/>
              </c:ext>
            </c:extLst>
          </c:dPt>
          <c:val>
            <c:numLit>
              <c:formatCode>General</c:formatCode>
              <c:ptCount val="2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numLit>
          </c:val>
          <c:extLst>
            <c:ext xmlns:c16="http://schemas.microsoft.com/office/drawing/2014/chart" uri="{C3380CC4-5D6E-409C-BE32-E72D297353CC}">
              <c16:uniqueId val="{00000028-B7AF-4CB4-AF35-756E5AAA57B4}"/>
            </c:ext>
          </c:extLst>
        </c:ser>
        <c:dLbls>
          <c:showLegendKey val="0"/>
          <c:showVal val="0"/>
          <c:showCatName val="0"/>
          <c:showSerName val="0"/>
          <c:showPercent val="0"/>
          <c:showBubbleSize val="0"/>
          <c:showLeaderLines val="1"/>
        </c:dLbls>
        <c:firstSliceAng val="0"/>
        <c:holeSize val="65"/>
      </c:doughnutChart>
      <c:doughnutChart>
        <c:varyColors val="1"/>
        <c:ser>
          <c:idx val="1"/>
          <c:order val="1"/>
          <c:tx>
            <c:strRef>
              <c:f>Tablero!$AF$10</c:f>
              <c:strCache>
                <c:ptCount val="1"/>
                <c:pt idx="0">
                  <c:v>Rotación (Ventas / Activo)</c:v>
                </c:pt>
              </c:strCache>
            </c:strRef>
          </c:tx>
          <c:dPt>
            <c:idx val="0"/>
            <c:bubble3D val="0"/>
            <c:spPr>
              <a:noFill/>
              <a:ln w="19050">
                <a:solidFill>
                  <a:schemeClr val="lt1"/>
                </a:solidFill>
              </a:ln>
              <a:effectLst/>
            </c:spPr>
            <c:extLst>
              <c:ext xmlns:c16="http://schemas.microsoft.com/office/drawing/2014/chart" uri="{C3380CC4-5D6E-409C-BE32-E72D297353CC}">
                <c16:uniqueId val="{0000002A-B7AF-4CB4-AF35-756E5AAA57B4}"/>
              </c:ext>
            </c:extLst>
          </c:dPt>
          <c:dPt>
            <c:idx val="1"/>
            <c:bubble3D val="0"/>
            <c:spPr>
              <a:solidFill>
                <a:schemeClr val="bg1">
                  <a:alpha val="70000"/>
                </a:schemeClr>
              </a:solidFill>
              <a:ln w="19050">
                <a:solidFill>
                  <a:schemeClr val="lt1"/>
                </a:solidFill>
              </a:ln>
              <a:effectLst/>
            </c:spPr>
            <c:extLst>
              <c:ext xmlns:c16="http://schemas.microsoft.com/office/drawing/2014/chart" uri="{C3380CC4-5D6E-409C-BE32-E72D297353CC}">
                <c16:uniqueId val="{0000002B-B7AF-4CB4-AF35-756E5AAA57B4}"/>
              </c:ext>
            </c:extLst>
          </c:dPt>
          <c:val>
            <c:numRef>
              <c:f>Tablero!$AG$10:$AH$10</c:f>
              <c:numCache>
                <c:formatCode>#,##0.00</c:formatCode>
                <c:ptCount val="2"/>
                <c:pt idx="0">
                  <c:v>0.59528741778120497</c:v>
                </c:pt>
                <c:pt idx="1">
                  <c:v>0.40471258221879503</c:v>
                </c:pt>
              </c:numCache>
            </c:numRef>
          </c:val>
          <c:extLst>
            <c:ext xmlns:c16="http://schemas.microsoft.com/office/drawing/2014/chart" uri="{C3380CC4-5D6E-409C-BE32-E72D297353CC}">
              <c16:uniqueId val="{00000029-B7AF-4CB4-AF35-756E5AAA57B4}"/>
            </c:ext>
          </c:extLst>
        </c:ser>
        <c:dLbls>
          <c:showLegendKey val="0"/>
          <c:showVal val="0"/>
          <c:showCatName val="0"/>
          <c:showSerName val="0"/>
          <c:showPercent val="0"/>
          <c:showBubbleSize val="0"/>
          <c:showLeaderLines val="1"/>
        </c:dLbls>
        <c:firstSliceAng val="0"/>
        <c:holeSize val="65"/>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s-A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tx>
            <c:strRef>
              <c:f>Tablero!$AF$11</c:f>
              <c:strCache>
                <c:ptCount val="1"/>
                <c:pt idx="0">
                  <c:v>Factor multiplicador/Apalancamiento (Activo / Patrimonio Neto)</c:v>
                </c:pt>
              </c:strCache>
            </c:strRef>
          </c:tx>
          <c:spPr>
            <a:solidFill>
              <a:schemeClr val="accent1"/>
            </a:solidFill>
          </c:spPr>
          <c:explosion val="2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256-486C-A16A-DB122AD7182F}"/>
              </c:ext>
            </c:extLst>
          </c:dPt>
          <c:dPt>
            <c:idx val="1"/>
            <c:bubble3D val="0"/>
            <c:spPr>
              <a:solidFill>
                <a:schemeClr val="accent1"/>
              </a:solidFill>
              <a:ln w="19050">
                <a:solidFill>
                  <a:schemeClr val="lt1"/>
                </a:solidFill>
              </a:ln>
              <a:effectLst/>
            </c:spPr>
            <c:extLst>
              <c:ext xmlns:c16="http://schemas.microsoft.com/office/drawing/2014/chart" uri="{C3380CC4-5D6E-409C-BE32-E72D297353CC}">
                <c16:uniqueId val="{00000003-9256-486C-A16A-DB122AD7182F}"/>
              </c:ext>
            </c:extLst>
          </c:dPt>
          <c:dPt>
            <c:idx val="2"/>
            <c:bubble3D val="0"/>
            <c:spPr>
              <a:solidFill>
                <a:schemeClr val="accent1"/>
              </a:solidFill>
              <a:ln w="19050">
                <a:solidFill>
                  <a:schemeClr val="lt1"/>
                </a:solidFill>
              </a:ln>
              <a:effectLst/>
            </c:spPr>
            <c:extLst>
              <c:ext xmlns:c16="http://schemas.microsoft.com/office/drawing/2014/chart" uri="{C3380CC4-5D6E-409C-BE32-E72D297353CC}">
                <c16:uniqueId val="{00000005-9256-486C-A16A-DB122AD7182F}"/>
              </c:ext>
            </c:extLst>
          </c:dPt>
          <c:dPt>
            <c:idx val="3"/>
            <c:bubble3D val="0"/>
            <c:spPr>
              <a:solidFill>
                <a:schemeClr val="accent1"/>
              </a:solidFill>
              <a:ln w="19050">
                <a:solidFill>
                  <a:schemeClr val="lt1"/>
                </a:solidFill>
              </a:ln>
              <a:effectLst/>
            </c:spPr>
            <c:extLst>
              <c:ext xmlns:c16="http://schemas.microsoft.com/office/drawing/2014/chart" uri="{C3380CC4-5D6E-409C-BE32-E72D297353CC}">
                <c16:uniqueId val="{00000007-9256-486C-A16A-DB122AD7182F}"/>
              </c:ext>
            </c:extLst>
          </c:dPt>
          <c:dPt>
            <c:idx val="4"/>
            <c:bubble3D val="0"/>
            <c:spPr>
              <a:solidFill>
                <a:schemeClr val="accent1"/>
              </a:solidFill>
              <a:ln w="19050">
                <a:solidFill>
                  <a:schemeClr val="lt1"/>
                </a:solidFill>
              </a:ln>
              <a:effectLst/>
            </c:spPr>
            <c:extLst>
              <c:ext xmlns:c16="http://schemas.microsoft.com/office/drawing/2014/chart" uri="{C3380CC4-5D6E-409C-BE32-E72D297353CC}">
                <c16:uniqueId val="{00000009-9256-486C-A16A-DB122AD7182F}"/>
              </c:ext>
            </c:extLst>
          </c:dPt>
          <c:dPt>
            <c:idx val="5"/>
            <c:bubble3D val="0"/>
            <c:spPr>
              <a:solidFill>
                <a:schemeClr val="accent1"/>
              </a:solidFill>
              <a:ln w="19050">
                <a:solidFill>
                  <a:schemeClr val="lt1"/>
                </a:solidFill>
              </a:ln>
              <a:effectLst/>
            </c:spPr>
            <c:extLst>
              <c:ext xmlns:c16="http://schemas.microsoft.com/office/drawing/2014/chart" uri="{C3380CC4-5D6E-409C-BE32-E72D297353CC}">
                <c16:uniqueId val="{0000000B-9256-486C-A16A-DB122AD7182F}"/>
              </c:ext>
            </c:extLst>
          </c:dPt>
          <c:dPt>
            <c:idx val="6"/>
            <c:bubble3D val="0"/>
            <c:spPr>
              <a:solidFill>
                <a:schemeClr val="accent1"/>
              </a:solidFill>
              <a:ln w="19050">
                <a:solidFill>
                  <a:schemeClr val="lt1"/>
                </a:solidFill>
              </a:ln>
              <a:effectLst/>
            </c:spPr>
            <c:extLst>
              <c:ext xmlns:c16="http://schemas.microsoft.com/office/drawing/2014/chart" uri="{C3380CC4-5D6E-409C-BE32-E72D297353CC}">
                <c16:uniqueId val="{0000000D-9256-486C-A16A-DB122AD7182F}"/>
              </c:ext>
            </c:extLst>
          </c:dPt>
          <c:dPt>
            <c:idx val="7"/>
            <c:bubble3D val="0"/>
            <c:spPr>
              <a:solidFill>
                <a:schemeClr val="accent1"/>
              </a:solidFill>
              <a:ln w="19050">
                <a:solidFill>
                  <a:schemeClr val="lt1"/>
                </a:solidFill>
              </a:ln>
              <a:effectLst/>
            </c:spPr>
            <c:extLst>
              <c:ext xmlns:c16="http://schemas.microsoft.com/office/drawing/2014/chart" uri="{C3380CC4-5D6E-409C-BE32-E72D297353CC}">
                <c16:uniqueId val="{0000000F-9256-486C-A16A-DB122AD7182F}"/>
              </c:ext>
            </c:extLst>
          </c:dPt>
          <c:dPt>
            <c:idx val="8"/>
            <c:bubble3D val="0"/>
            <c:spPr>
              <a:solidFill>
                <a:schemeClr val="accent1"/>
              </a:solidFill>
              <a:ln w="19050">
                <a:solidFill>
                  <a:schemeClr val="lt1"/>
                </a:solidFill>
              </a:ln>
              <a:effectLst/>
            </c:spPr>
            <c:extLst>
              <c:ext xmlns:c16="http://schemas.microsoft.com/office/drawing/2014/chart" uri="{C3380CC4-5D6E-409C-BE32-E72D297353CC}">
                <c16:uniqueId val="{00000011-9256-486C-A16A-DB122AD7182F}"/>
              </c:ext>
            </c:extLst>
          </c:dPt>
          <c:dPt>
            <c:idx val="9"/>
            <c:bubble3D val="0"/>
            <c:spPr>
              <a:solidFill>
                <a:schemeClr val="accent1"/>
              </a:solidFill>
              <a:ln w="19050">
                <a:solidFill>
                  <a:schemeClr val="lt1"/>
                </a:solidFill>
              </a:ln>
              <a:effectLst/>
            </c:spPr>
            <c:extLst>
              <c:ext xmlns:c16="http://schemas.microsoft.com/office/drawing/2014/chart" uri="{C3380CC4-5D6E-409C-BE32-E72D297353CC}">
                <c16:uniqueId val="{00000013-9256-486C-A16A-DB122AD7182F}"/>
              </c:ext>
            </c:extLst>
          </c:dPt>
          <c:dPt>
            <c:idx val="10"/>
            <c:bubble3D val="0"/>
            <c:spPr>
              <a:solidFill>
                <a:schemeClr val="accent1"/>
              </a:solidFill>
              <a:ln w="19050">
                <a:solidFill>
                  <a:schemeClr val="lt1"/>
                </a:solidFill>
              </a:ln>
              <a:effectLst/>
            </c:spPr>
            <c:extLst>
              <c:ext xmlns:c16="http://schemas.microsoft.com/office/drawing/2014/chart" uri="{C3380CC4-5D6E-409C-BE32-E72D297353CC}">
                <c16:uniqueId val="{00000015-9256-486C-A16A-DB122AD7182F}"/>
              </c:ext>
            </c:extLst>
          </c:dPt>
          <c:dPt>
            <c:idx val="11"/>
            <c:bubble3D val="0"/>
            <c:spPr>
              <a:solidFill>
                <a:schemeClr val="accent1"/>
              </a:solidFill>
              <a:ln w="19050">
                <a:solidFill>
                  <a:schemeClr val="lt1"/>
                </a:solidFill>
              </a:ln>
              <a:effectLst/>
            </c:spPr>
            <c:extLst>
              <c:ext xmlns:c16="http://schemas.microsoft.com/office/drawing/2014/chart" uri="{C3380CC4-5D6E-409C-BE32-E72D297353CC}">
                <c16:uniqueId val="{00000017-9256-486C-A16A-DB122AD7182F}"/>
              </c:ext>
            </c:extLst>
          </c:dPt>
          <c:dPt>
            <c:idx val="12"/>
            <c:bubble3D val="0"/>
            <c:spPr>
              <a:solidFill>
                <a:schemeClr val="accent1"/>
              </a:solidFill>
              <a:ln w="19050">
                <a:solidFill>
                  <a:schemeClr val="lt1"/>
                </a:solidFill>
              </a:ln>
              <a:effectLst/>
            </c:spPr>
            <c:extLst>
              <c:ext xmlns:c16="http://schemas.microsoft.com/office/drawing/2014/chart" uri="{C3380CC4-5D6E-409C-BE32-E72D297353CC}">
                <c16:uniqueId val="{00000019-9256-486C-A16A-DB122AD7182F}"/>
              </c:ext>
            </c:extLst>
          </c:dPt>
          <c:dPt>
            <c:idx val="13"/>
            <c:bubble3D val="0"/>
            <c:spPr>
              <a:solidFill>
                <a:schemeClr val="accent1"/>
              </a:solidFill>
              <a:ln w="19050">
                <a:solidFill>
                  <a:schemeClr val="lt1"/>
                </a:solidFill>
              </a:ln>
              <a:effectLst/>
            </c:spPr>
            <c:extLst>
              <c:ext xmlns:c16="http://schemas.microsoft.com/office/drawing/2014/chart" uri="{C3380CC4-5D6E-409C-BE32-E72D297353CC}">
                <c16:uniqueId val="{0000001B-9256-486C-A16A-DB122AD7182F}"/>
              </c:ext>
            </c:extLst>
          </c:dPt>
          <c:dPt>
            <c:idx val="14"/>
            <c:bubble3D val="0"/>
            <c:spPr>
              <a:solidFill>
                <a:schemeClr val="accent1"/>
              </a:solidFill>
              <a:ln w="19050">
                <a:solidFill>
                  <a:schemeClr val="lt1"/>
                </a:solidFill>
              </a:ln>
              <a:effectLst/>
            </c:spPr>
            <c:extLst>
              <c:ext xmlns:c16="http://schemas.microsoft.com/office/drawing/2014/chart" uri="{C3380CC4-5D6E-409C-BE32-E72D297353CC}">
                <c16:uniqueId val="{0000001D-9256-486C-A16A-DB122AD7182F}"/>
              </c:ext>
            </c:extLst>
          </c:dPt>
          <c:dPt>
            <c:idx val="15"/>
            <c:bubble3D val="0"/>
            <c:spPr>
              <a:solidFill>
                <a:schemeClr val="accent1"/>
              </a:solidFill>
              <a:ln w="19050">
                <a:solidFill>
                  <a:schemeClr val="lt1"/>
                </a:solidFill>
              </a:ln>
              <a:effectLst/>
            </c:spPr>
            <c:extLst>
              <c:ext xmlns:c16="http://schemas.microsoft.com/office/drawing/2014/chart" uri="{C3380CC4-5D6E-409C-BE32-E72D297353CC}">
                <c16:uniqueId val="{0000001F-9256-486C-A16A-DB122AD7182F}"/>
              </c:ext>
            </c:extLst>
          </c:dPt>
          <c:dPt>
            <c:idx val="16"/>
            <c:bubble3D val="0"/>
            <c:spPr>
              <a:solidFill>
                <a:schemeClr val="accent1"/>
              </a:solidFill>
              <a:ln w="19050">
                <a:solidFill>
                  <a:schemeClr val="lt1"/>
                </a:solidFill>
              </a:ln>
              <a:effectLst/>
            </c:spPr>
            <c:extLst>
              <c:ext xmlns:c16="http://schemas.microsoft.com/office/drawing/2014/chart" uri="{C3380CC4-5D6E-409C-BE32-E72D297353CC}">
                <c16:uniqueId val="{00000021-9256-486C-A16A-DB122AD7182F}"/>
              </c:ext>
            </c:extLst>
          </c:dPt>
          <c:dPt>
            <c:idx val="17"/>
            <c:bubble3D val="0"/>
            <c:spPr>
              <a:solidFill>
                <a:schemeClr val="accent1"/>
              </a:solidFill>
              <a:ln w="19050">
                <a:solidFill>
                  <a:schemeClr val="lt1"/>
                </a:solidFill>
              </a:ln>
              <a:effectLst/>
            </c:spPr>
            <c:extLst>
              <c:ext xmlns:c16="http://schemas.microsoft.com/office/drawing/2014/chart" uri="{C3380CC4-5D6E-409C-BE32-E72D297353CC}">
                <c16:uniqueId val="{00000023-9256-486C-A16A-DB122AD7182F}"/>
              </c:ext>
            </c:extLst>
          </c:dPt>
          <c:dPt>
            <c:idx val="18"/>
            <c:bubble3D val="0"/>
            <c:spPr>
              <a:solidFill>
                <a:schemeClr val="accent1"/>
              </a:solidFill>
              <a:ln w="19050">
                <a:solidFill>
                  <a:schemeClr val="lt1"/>
                </a:solidFill>
              </a:ln>
              <a:effectLst/>
            </c:spPr>
            <c:extLst>
              <c:ext xmlns:c16="http://schemas.microsoft.com/office/drawing/2014/chart" uri="{C3380CC4-5D6E-409C-BE32-E72D297353CC}">
                <c16:uniqueId val="{00000025-9256-486C-A16A-DB122AD7182F}"/>
              </c:ext>
            </c:extLst>
          </c:dPt>
          <c:dPt>
            <c:idx val="19"/>
            <c:bubble3D val="0"/>
            <c:spPr>
              <a:solidFill>
                <a:schemeClr val="accent1"/>
              </a:solidFill>
              <a:ln w="19050">
                <a:solidFill>
                  <a:schemeClr val="lt1"/>
                </a:solidFill>
              </a:ln>
              <a:effectLst/>
            </c:spPr>
            <c:extLst>
              <c:ext xmlns:c16="http://schemas.microsoft.com/office/drawing/2014/chart" uri="{C3380CC4-5D6E-409C-BE32-E72D297353CC}">
                <c16:uniqueId val="{00000027-9256-486C-A16A-DB122AD7182F}"/>
              </c:ext>
            </c:extLst>
          </c:dPt>
          <c:val>
            <c:numLit>
              <c:formatCode>General</c:formatCode>
              <c:ptCount val="2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numLit>
          </c:val>
          <c:extLst>
            <c:ext xmlns:c16="http://schemas.microsoft.com/office/drawing/2014/chart" uri="{C3380CC4-5D6E-409C-BE32-E72D297353CC}">
              <c16:uniqueId val="{00000028-9256-486C-A16A-DB122AD7182F}"/>
            </c:ext>
          </c:extLst>
        </c:ser>
        <c:dLbls>
          <c:showLegendKey val="0"/>
          <c:showVal val="0"/>
          <c:showCatName val="0"/>
          <c:showSerName val="0"/>
          <c:showPercent val="0"/>
          <c:showBubbleSize val="0"/>
          <c:showLeaderLines val="1"/>
        </c:dLbls>
        <c:firstSliceAng val="0"/>
        <c:holeSize val="65"/>
      </c:doughnutChart>
      <c:doughnutChart>
        <c:varyColors val="1"/>
        <c:ser>
          <c:idx val="1"/>
          <c:order val="1"/>
          <c:tx>
            <c:strRef>
              <c:f>Tablero!$AF$11</c:f>
              <c:strCache>
                <c:ptCount val="1"/>
                <c:pt idx="0">
                  <c:v>Factor multiplicador/Apalancamiento (Activo / Patrimonio Neto)</c:v>
                </c:pt>
              </c:strCache>
            </c:strRef>
          </c:tx>
          <c:dPt>
            <c:idx val="0"/>
            <c:bubble3D val="0"/>
            <c:spPr>
              <a:noFill/>
              <a:ln w="19050">
                <a:solidFill>
                  <a:schemeClr val="lt1"/>
                </a:solidFill>
              </a:ln>
              <a:effectLst/>
            </c:spPr>
            <c:extLst>
              <c:ext xmlns:c16="http://schemas.microsoft.com/office/drawing/2014/chart" uri="{C3380CC4-5D6E-409C-BE32-E72D297353CC}">
                <c16:uniqueId val="{0000002A-9256-486C-A16A-DB122AD7182F}"/>
              </c:ext>
            </c:extLst>
          </c:dPt>
          <c:dPt>
            <c:idx val="1"/>
            <c:bubble3D val="0"/>
            <c:spPr>
              <a:solidFill>
                <a:schemeClr val="bg1">
                  <a:alpha val="70000"/>
                </a:schemeClr>
              </a:solidFill>
              <a:ln w="19050">
                <a:solidFill>
                  <a:schemeClr val="lt1"/>
                </a:solidFill>
              </a:ln>
              <a:effectLst/>
            </c:spPr>
            <c:extLst>
              <c:ext xmlns:c16="http://schemas.microsoft.com/office/drawing/2014/chart" uri="{C3380CC4-5D6E-409C-BE32-E72D297353CC}">
                <c16:uniqueId val="{0000002B-9256-486C-A16A-DB122AD7182F}"/>
              </c:ext>
            </c:extLst>
          </c:dPt>
          <c:val>
            <c:numRef>
              <c:f>Tablero!$AG$11:$AH$11</c:f>
              <c:numCache>
                <c:formatCode>#,##0.00</c:formatCode>
                <c:ptCount val="2"/>
                <c:pt idx="0">
                  <c:v>1.194831649001391</c:v>
                </c:pt>
                <c:pt idx="1">
                  <c:v>-0.19483164900139105</c:v>
                </c:pt>
              </c:numCache>
            </c:numRef>
          </c:val>
          <c:extLst>
            <c:ext xmlns:c16="http://schemas.microsoft.com/office/drawing/2014/chart" uri="{C3380CC4-5D6E-409C-BE32-E72D297353CC}">
              <c16:uniqueId val="{00000029-9256-486C-A16A-DB122AD7182F}"/>
            </c:ext>
          </c:extLst>
        </c:ser>
        <c:dLbls>
          <c:showLegendKey val="0"/>
          <c:showVal val="0"/>
          <c:showCatName val="0"/>
          <c:showSerName val="0"/>
          <c:showPercent val="0"/>
          <c:showBubbleSize val="0"/>
          <c:showLeaderLines val="1"/>
        </c:dLbls>
        <c:firstSliceAng val="0"/>
        <c:holeSize val="65"/>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A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Tablero!$AJ$8</c:f>
              <c:strCache>
                <c:ptCount val="1"/>
                <c:pt idx="0">
                  <c:v>activo</c:v>
                </c:pt>
              </c:strCache>
            </c:strRef>
          </c:tx>
          <c:spPr>
            <a:noFill/>
            <a:ln w="38100">
              <a:solidFill>
                <a:schemeClr val="accent1">
                  <a:lumMod val="60000"/>
                  <a:lumOff val="40000"/>
                </a:schemeClr>
              </a:solidFill>
              <a:prstDash val="sysDash"/>
            </a:ln>
            <a:effectLst/>
          </c:spPr>
          <c:invertIfNegative val="0"/>
          <c:cat>
            <c:strRef>
              <c:f>Tablero!$AI$9:$AI$10</c:f>
              <c:strCache>
                <c:ptCount val="2"/>
                <c:pt idx="0">
                  <c:v>Endeudamiento / P. Neto</c:v>
                </c:pt>
                <c:pt idx="1">
                  <c:v>Endeudamiento / Activo</c:v>
                </c:pt>
              </c:strCache>
            </c:strRef>
          </c:cat>
          <c:val>
            <c:numRef>
              <c:f>Tablero!$AJ$9:$AJ$10</c:f>
              <c:numCache>
                <c:formatCode>0%</c:formatCode>
                <c:ptCount val="2"/>
                <c:pt idx="0">
                  <c:v>0.80516835099860884</c:v>
                </c:pt>
                <c:pt idx="1">
                  <c:v>0.83693799108499822</c:v>
                </c:pt>
              </c:numCache>
            </c:numRef>
          </c:val>
          <c:extLst>
            <c:ext xmlns:c16="http://schemas.microsoft.com/office/drawing/2014/chart" uri="{C3380CC4-5D6E-409C-BE32-E72D297353CC}">
              <c16:uniqueId val="{00000000-5034-41ED-9152-43276280A474}"/>
            </c:ext>
          </c:extLst>
        </c:ser>
        <c:ser>
          <c:idx val="1"/>
          <c:order val="1"/>
          <c:tx>
            <c:strRef>
              <c:f>Tablero!$AK$8</c:f>
              <c:strCache>
                <c:ptCount val="1"/>
                <c:pt idx="0">
                  <c:v>pasivo</c:v>
                </c:pt>
              </c:strCache>
            </c:strRef>
          </c:tx>
          <c:spPr>
            <a:noFill/>
            <a:ln w="38100">
              <a:solidFill>
                <a:schemeClr val="accent1">
                  <a:lumMod val="60000"/>
                  <a:lumOff val="4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A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Tablero!$AI$9:$AI$10</c:f>
              <c:strCache>
                <c:ptCount val="2"/>
                <c:pt idx="0">
                  <c:v>Endeudamiento / P. Neto</c:v>
                </c:pt>
                <c:pt idx="1">
                  <c:v>Endeudamiento / Activo</c:v>
                </c:pt>
              </c:strCache>
            </c:strRef>
          </c:cat>
          <c:val>
            <c:numRef>
              <c:f>Tablero!$AK$9:$AK$10</c:f>
              <c:numCache>
                <c:formatCode>0%</c:formatCode>
                <c:ptCount val="2"/>
                <c:pt idx="0">
                  <c:v>0.19483164900139113</c:v>
                </c:pt>
                <c:pt idx="1">
                  <c:v>0.1630620089150018</c:v>
                </c:pt>
              </c:numCache>
            </c:numRef>
          </c:val>
          <c:extLst>
            <c:ext xmlns:c16="http://schemas.microsoft.com/office/drawing/2014/chart" uri="{C3380CC4-5D6E-409C-BE32-E72D297353CC}">
              <c16:uniqueId val="{00000001-5034-41ED-9152-43276280A474}"/>
            </c:ext>
          </c:extLst>
        </c:ser>
        <c:dLbls>
          <c:showLegendKey val="0"/>
          <c:showVal val="0"/>
          <c:showCatName val="0"/>
          <c:showSerName val="0"/>
          <c:showPercent val="0"/>
          <c:showBubbleSize val="0"/>
        </c:dLbls>
        <c:gapWidth val="150"/>
        <c:overlap val="100"/>
        <c:axId val="485099072"/>
        <c:axId val="485100056"/>
      </c:barChart>
      <c:catAx>
        <c:axId val="485099072"/>
        <c:scaling>
          <c:orientation val="minMax"/>
        </c:scaling>
        <c:delete val="1"/>
        <c:axPos val="l"/>
        <c:numFmt formatCode="General" sourceLinked="1"/>
        <c:majorTickMark val="none"/>
        <c:minorTickMark val="none"/>
        <c:tickLblPos val="nextTo"/>
        <c:crossAx val="485100056"/>
        <c:crosses val="autoZero"/>
        <c:auto val="1"/>
        <c:lblAlgn val="ctr"/>
        <c:lblOffset val="100"/>
        <c:noMultiLvlLbl val="0"/>
      </c:catAx>
      <c:valAx>
        <c:axId val="485100056"/>
        <c:scaling>
          <c:orientation val="minMax"/>
        </c:scaling>
        <c:delete val="1"/>
        <c:axPos val="b"/>
        <c:numFmt formatCode="0%" sourceLinked="1"/>
        <c:majorTickMark val="none"/>
        <c:minorTickMark val="none"/>
        <c:tickLblPos val="nextTo"/>
        <c:crossAx val="48509907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A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203651067931931"/>
          <c:y val="0.15802841937180667"/>
          <c:w val="0.49374523043633667"/>
          <c:h val="0.8372952423045027"/>
        </c:manualLayout>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1-2088-438F-B395-D99753208F7C}"/>
              </c:ext>
            </c:extLst>
          </c:dPt>
          <c:dPt>
            <c:idx val="1"/>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3-2088-438F-B395-D99753208F7C}"/>
              </c:ext>
            </c:extLst>
          </c:dPt>
          <c:dPt>
            <c:idx val="2"/>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5-2088-438F-B395-D99753208F7C}"/>
              </c:ext>
            </c:extLst>
          </c:dPt>
          <c:dPt>
            <c:idx val="3"/>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7-2088-438F-B395-D99753208F7C}"/>
              </c:ext>
            </c:extLst>
          </c:dPt>
          <c:dPt>
            <c:idx val="4"/>
            <c:bubble3D val="0"/>
            <c:spPr>
              <a:solidFill>
                <a:srgbClr val="FFFF00"/>
              </a:solidFill>
              <a:ln w="19050">
                <a:solidFill>
                  <a:schemeClr val="lt1"/>
                </a:solidFill>
              </a:ln>
              <a:effectLst/>
            </c:spPr>
            <c:extLst>
              <c:ext xmlns:c16="http://schemas.microsoft.com/office/drawing/2014/chart" uri="{C3380CC4-5D6E-409C-BE32-E72D297353CC}">
                <c16:uniqueId val="{00000009-2088-438F-B395-D99753208F7C}"/>
              </c:ext>
            </c:extLst>
          </c:dPt>
          <c:dPt>
            <c:idx val="5"/>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B-2088-438F-B395-D99753208F7C}"/>
              </c:ext>
            </c:extLst>
          </c:dPt>
          <c:dPt>
            <c:idx val="6"/>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D-2088-438F-B395-D99753208F7C}"/>
              </c:ext>
            </c:extLst>
          </c:dPt>
          <c:dPt>
            <c:idx val="7"/>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F-2088-438F-B395-D99753208F7C}"/>
              </c:ext>
            </c:extLst>
          </c:dPt>
          <c:dPt>
            <c:idx val="8"/>
            <c:bubble3D val="0"/>
            <c:spPr>
              <a:solidFill>
                <a:srgbClr val="00B050"/>
              </a:solidFill>
              <a:ln w="19050">
                <a:solidFill>
                  <a:schemeClr val="lt1"/>
                </a:solidFill>
              </a:ln>
              <a:effectLst/>
            </c:spPr>
            <c:extLst>
              <c:ext xmlns:c16="http://schemas.microsoft.com/office/drawing/2014/chart" uri="{C3380CC4-5D6E-409C-BE32-E72D297353CC}">
                <c16:uniqueId val="{00000011-2088-438F-B395-D99753208F7C}"/>
              </c:ext>
            </c:extLst>
          </c:dPt>
          <c:dPt>
            <c:idx val="9"/>
            <c:bubble3D val="0"/>
            <c:spPr>
              <a:noFill/>
              <a:ln w="19050">
                <a:noFill/>
              </a:ln>
              <a:effectLst/>
            </c:spPr>
            <c:extLst>
              <c:ext xmlns:c16="http://schemas.microsoft.com/office/drawing/2014/chart" uri="{C3380CC4-5D6E-409C-BE32-E72D297353CC}">
                <c16:uniqueId val="{00000013-2088-438F-B395-D99753208F7C}"/>
              </c:ext>
            </c:extLst>
          </c:dPt>
          <c:val>
            <c:numRef>
              <c:f>Tablero!$AO$9:$AO$18</c:f>
              <c:numCache>
                <c:formatCode>General</c:formatCode>
                <c:ptCount val="10"/>
                <c:pt idx="0">
                  <c:v>1</c:v>
                </c:pt>
                <c:pt idx="1">
                  <c:v>1</c:v>
                </c:pt>
                <c:pt idx="2">
                  <c:v>1</c:v>
                </c:pt>
                <c:pt idx="3">
                  <c:v>1</c:v>
                </c:pt>
                <c:pt idx="4">
                  <c:v>1</c:v>
                </c:pt>
                <c:pt idx="5">
                  <c:v>1</c:v>
                </c:pt>
                <c:pt idx="6">
                  <c:v>1</c:v>
                </c:pt>
                <c:pt idx="7">
                  <c:v>1</c:v>
                </c:pt>
                <c:pt idx="8">
                  <c:v>1</c:v>
                </c:pt>
                <c:pt idx="9">
                  <c:v>9</c:v>
                </c:pt>
              </c:numCache>
            </c:numRef>
          </c:val>
          <c:extLst>
            <c:ext xmlns:c16="http://schemas.microsoft.com/office/drawing/2014/chart" uri="{C3380CC4-5D6E-409C-BE32-E72D297353CC}">
              <c16:uniqueId val="{00000014-2088-438F-B395-D99753208F7C}"/>
            </c:ext>
          </c:extLst>
        </c:ser>
        <c:dLbls>
          <c:showLegendKey val="0"/>
          <c:showVal val="0"/>
          <c:showCatName val="0"/>
          <c:showSerName val="0"/>
          <c:showPercent val="0"/>
          <c:showBubbleSize val="0"/>
          <c:showLeaderLines val="0"/>
        </c:dLbls>
        <c:firstSliceAng val="270"/>
        <c:holeSize val="60"/>
      </c:doughnutChart>
      <c:scatterChart>
        <c:scatterStyle val="smoothMarker"/>
        <c:varyColors val="0"/>
        <c:ser>
          <c:idx val="1"/>
          <c:order val="1"/>
          <c:tx>
            <c:v>PUNTOS</c:v>
          </c:tx>
          <c:spPr>
            <a:ln w="38100" cap="rnd">
              <a:solidFill>
                <a:schemeClr val="tx1"/>
              </a:solidFill>
              <a:round/>
              <a:headEnd type="oval"/>
              <a:tailEnd type="triangle"/>
            </a:ln>
            <a:effectLst/>
          </c:spPr>
          <c:marker>
            <c:symbol val="circle"/>
            <c:size val="5"/>
            <c:spPr>
              <a:noFill/>
              <a:ln w="9525">
                <a:noFill/>
              </a:ln>
              <a:effectLst/>
            </c:spPr>
          </c:marker>
          <c:xVal>
            <c:numRef>
              <c:f>Tablero!$AV$18:$AV$19</c:f>
              <c:numCache>
                <c:formatCode>General</c:formatCode>
                <c:ptCount val="2"/>
                <c:pt idx="0">
                  <c:v>0</c:v>
                </c:pt>
                <c:pt idx="1">
                  <c:v>-1</c:v>
                </c:pt>
              </c:numCache>
            </c:numRef>
          </c:xVal>
          <c:yVal>
            <c:numRef>
              <c:f>Tablero!$AW$18:$AW$19</c:f>
              <c:numCache>
                <c:formatCode>General</c:formatCode>
                <c:ptCount val="2"/>
                <c:pt idx="0">
                  <c:v>0</c:v>
                </c:pt>
                <c:pt idx="1">
                  <c:v>0</c:v>
                </c:pt>
              </c:numCache>
            </c:numRef>
          </c:yVal>
          <c:smooth val="1"/>
          <c:extLst>
            <c:ext xmlns:c16="http://schemas.microsoft.com/office/drawing/2014/chart" uri="{C3380CC4-5D6E-409C-BE32-E72D297353CC}">
              <c16:uniqueId val="{00000015-2088-438F-B395-D99753208F7C}"/>
            </c:ext>
          </c:extLst>
        </c:ser>
        <c:ser>
          <c:idx val="2"/>
          <c:order val="2"/>
          <c:tx>
            <c:v>PUNTOS2</c:v>
          </c:tx>
          <c:spPr>
            <a:ln w="38100">
              <a:solidFill>
                <a:schemeClr val="tx1"/>
              </a:solidFill>
              <a:prstDash val="sysDash"/>
              <a:headEnd type="oval"/>
              <a:tailEnd type="triangle"/>
            </a:ln>
          </c:spPr>
          <c:marker>
            <c:spPr>
              <a:noFill/>
              <a:ln>
                <a:noFill/>
              </a:ln>
            </c:spPr>
          </c:marker>
          <c:xVal>
            <c:numRef>
              <c:f>Tablero!$AV$34:$AV$35</c:f>
              <c:numCache>
                <c:formatCode>General</c:formatCode>
                <c:ptCount val="2"/>
                <c:pt idx="0">
                  <c:v>0</c:v>
                </c:pt>
                <c:pt idx="1">
                  <c:v>-6.1257422745431001E-17</c:v>
                </c:pt>
              </c:numCache>
            </c:numRef>
          </c:xVal>
          <c:yVal>
            <c:numRef>
              <c:f>Tablero!$AW$34:$AW$35</c:f>
              <c:numCache>
                <c:formatCode>General</c:formatCode>
                <c:ptCount val="2"/>
                <c:pt idx="0">
                  <c:v>0</c:v>
                </c:pt>
                <c:pt idx="1">
                  <c:v>1</c:v>
                </c:pt>
              </c:numCache>
            </c:numRef>
          </c:yVal>
          <c:smooth val="1"/>
          <c:extLst>
            <c:ext xmlns:c16="http://schemas.microsoft.com/office/drawing/2014/chart" uri="{C3380CC4-5D6E-409C-BE32-E72D297353CC}">
              <c16:uniqueId val="{00000014-3CE9-41DB-B587-96FFDDEF483A}"/>
            </c:ext>
          </c:extLst>
        </c:ser>
        <c:dLbls>
          <c:showLegendKey val="0"/>
          <c:showVal val="0"/>
          <c:showCatName val="0"/>
          <c:showSerName val="0"/>
          <c:showPercent val="0"/>
          <c:showBubbleSize val="0"/>
        </c:dLbls>
        <c:axId val="373770328"/>
        <c:axId val="373775248"/>
      </c:scatterChart>
      <c:valAx>
        <c:axId val="373775248"/>
        <c:scaling>
          <c:orientation val="minMax"/>
          <c:max val="1"/>
          <c:min val="-1"/>
        </c:scaling>
        <c:delete val="1"/>
        <c:axPos val="l"/>
        <c:numFmt formatCode="General" sourceLinked="1"/>
        <c:majorTickMark val="out"/>
        <c:minorTickMark val="none"/>
        <c:tickLblPos val="nextTo"/>
        <c:crossAx val="373770328"/>
        <c:crosses val="autoZero"/>
        <c:crossBetween val="midCat"/>
      </c:valAx>
      <c:valAx>
        <c:axId val="373770328"/>
        <c:scaling>
          <c:orientation val="minMax"/>
          <c:max val="1"/>
          <c:min val="-1"/>
        </c:scaling>
        <c:delete val="1"/>
        <c:axPos val="b"/>
        <c:numFmt formatCode="General" sourceLinked="1"/>
        <c:majorTickMark val="out"/>
        <c:minorTickMark val="none"/>
        <c:tickLblPos val="nextTo"/>
        <c:crossAx val="373775248"/>
        <c:crosses val="autoZero"/>
        <c:crossBetween val="midCat"/>
      </c:valAx>
      <c:spPr>
        <a:noFill/>
        <a:ln>
          <a:noFill/>
        </a:ln>
        <a:effectLst>
          <a:glow>
            <a:schemeClr val="accent1"/>
          </a:glow>
        </a:effectLst>
      </c:spPr>
    </c:plotArea>
    <c:plotVisOnly val="1"/>
    <c:dispBlanksAs val="gap"/>
    <c:showDLblsOverMax val="0"/>
  </c:chart>
  <c:spPr>
    <a:noFill/>
    <a:ln w="9525" cap="flat" cmpd="sng" algn="ctr">
      <a:noFill/>
      <a:round/>
    </a:ln>
    <a:effectLst/>
  </c:spPr>
  <c:txPr>
    <a:bodyPr/>
    <a:lstStyle/>
    <a:p>
      <a:pPr>
        <a:defRPr/>
      </a:pPr>
      <a:endParaRPr lang="es-A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203651067931931"/>
          <c:y val="0.15802841937180667"/>
          <c:w val="0.49374523043633667"/>
          <c:h val="0.8372952423045027"/>
        </c:manualLayout>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1-A603-409B-93EE-EE15BB32C71F}"/>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A603-409B-93EE-EE15BB32C71F}"/>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A603-409B-93EE-EE15BB32C71F}"/>
              </c:ext>
            </c:extLst>
          </c:dPt>
          <c:dPt>
            <c:idx val="3"/>
            <c:bubble3D val="0"/>
            <c:spPr>
              <a:solidFill>
                <a:srgbClr val="FFFF00"/>
              </a:solidFill>
              <a:ln w="19050">
                <a:solidFill>
                  <a:schemeClr val="lt1"/>
                </a:solidFill>
              </a:ln>
              <a:effectLst/>
            </c:spPr>
            <c:extLst>
              <c:ext xmlns:c16="http://schemas.microsoft.com/office/drawing/2014/chart" uri="{C3380CC4-5D6E-409C-BE32-E72D297353CC}">
                <c16:uniqueId val="{00000007-A603-409B-93EE-EE15BB32C71F}"/>
              </c:ext>
            </c:extLst>
          </c:dPt>
          <c:dPt>
            <c:idx val="4"/>
            <c:bubble3D val="0"/>
            <c:spPr>
              <a:solidFill>
                <a:srgbClr val="FFFF00"/>
              </a:solidFill>
              <a:ln w="19050">
                <a:solidFill>
                  <a:schemeClr val="lt1"/>
                </a:solidFill>
              </a:ln>
              <a:effectLst/>
            </c:spPr>
            <c:extLst>
              <c:ext xmlns:c16="http://schemas.microsoft.com/office/drawing/2014/chart" uri="{C3380CC4-5D6E-409C-BE32-E72D297353CC}">
                <c16:uniqueId val="{00000009-A603-409B-93EE-EE15BB32C71F}"/>
              </c:ext>
            </c:extLst>
          </c:dPt>
          <c:dPt>
            <c:idx val="5"/>
            <c:bubble3D val="0"/>
            <c:spPr>
              <a:solidFill>
                <a:srgbClr val="FFFF00"/>
              </a:solidFill>
              <a:ln w="19050">
                <a:solidFill>
                  <a:schemeClr val="lt1"/>
                </a:solidFill>
              </a:ln>
              <a:effectLst/>
            </c:spPr>
            <c:extLst>
              <c:ext xmlns:c16="http://schemas.microsoft.com/office/drawing/2014/chart" uri="{C3380CC4-5D6E-409C-BE32-E72D297353CC}">
                <c16:uniqueId val="{0000000B-A603-409B-93EE-EE15BB32C71F}"/>
              </c:ext>
            </c:extLst>
          </c:dPt>
          <c:dPt>
            <c:idx val="6"/>
            <c:bubble3D val="0"/>
            <c:spPr>
              <a:solidFill>
                <a:srgbClr val="00B050"/>
              </a:solidFill>
              <a:ln w="19050">
                <a:solidFill>
                  <a:schemeClr val="lt1"/>
                </a:solidFill>
              </a:ln>
              <a:effectLst/>
            </c:spPr>
            <c:extLst>
              <c:ext xmlns:c16="http://schemas.microsoft.com/office/drawing/2014/chart" uri="{C3380CC4-5D6E-409C-BE32-E72D297353CC}">
                <c16:uniqueId val="{0000000D-A603-409B-93EE-EE15BB32C71F}"/>
              </c:ext>
            </c:extLst>
          </c:dPt>
          <c:dPt>
            <c:idx val="7"/>
            <c:bubble3D val="0"/>
            <c:spPr>
              <a:solidFill>
                <a:srgbClr val="00B050"/>
              </a:solidFill>
              <a:ln w="19050">
                <a:solidFill>
                  <a:schemeClr val="lt1"/>
                </a:solidFill>
              </a:ln>
              <a:effectLst/>
            </c:spPr>
            <c:extLst>
              <c:ext xmlns:c16="http://schemas.microsoft.com/office/drawing/2014/chart" uri="{C3380CC4-5D6E-409C-BE32-E72D297353CC}">
                <c16:uniqueId val="{0000000F-A603-409B-93EE-EE15BB32C71F}"/>
              </c:ext>
            </c:extLst>
          </c:dPt>
          <c:dPt>
            <c:idx val="8"/>
            <c:bubble3D val="0"/>
            <c:spPr>
              <a:solidFill>
                <a:srgbClr val="00B050"/>
              </a:solidFill>
              <a:ln w="19050">
                <a:solidFill>
                  <a:schemeClr val="lt1"/>
                </a:solidFill>
              </a:ln>
              <a:effectLst/>
            </c:spPr>
            <c:extLst>
              <c:ext xmlns:c16="http://schemas.microsoft.com/office/drawing/2014/chart" uri="{C3380CC4-5D6E-409C-BE32-E72D297353CC}">
                <c16:uniqueId val="{00000011-A603-409B-93EE-EE15BB32C71F}"/>
              </c:ext>
            </c:extLst>
          </c:dPt>
          <c:dPt>
            <c:idx val="9"/>
            <c:bubble3D val="0"/>
            <c:spPr>
              <a:noFill/>
              <a:ln w="19050">
                <a:noFill/>
              </a:ln>
              <a:effectLst/>
            </c:spPr>
            <c:extLst>
              <c:ext xmlns:c16="http://schemas.microsoft.com/office/drawing/2014/chart" uri="{C3380CC4-5D6E-409C-BE32-E72D297353CC}">
                <c16:uniqueId val="{00000013-A603-409B-93EE-EE15BB32C71F}"/>
              </c:ext>
            </c:extLst>
          </c:dPt>
          <c:dLbls>
            <c:dLbl>
              <c:idx val="0"/>
              <c:layout>
                <c:manualLayout>
                  <c:x val="-9.6219939082171677E-2"/>
                  <c:y val="-8.1585089072288355E-3"/>
                </c:manualLayout>
              </c:layout>
              <c:tx>
                <c:rich>
                  <a:bodyPr/>
                  <a:lstStyle/>
                  <a:p>
                    <a:fld id="{44FEAE08-4780-4864-A1DB-07237D8C30D5}" type="CELLRANGE">
                      <a:rPr lang="en-US"/>
                      <a:pPr/>
                      <a:t>[CELLRANGE]</a:t>
                    </a:fld>
                    <a:endParaRPr lang="es-A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A603-409B-93EE-EE15BB32C71F}"/>
                </c:ext>
              </c:extLst>
            </c:dLbl>
            <c:dLbl>
              <c:idx val="1"/>
              <c:layout>
                <c:manualLayout>
                  <c:x val="-8.9003443651008762E-2"/>
                  <c:y val="-6.1188816804215701E-2"/>
                </c:manualLayout>
              </c:layout>
              <c:tx>
                <c:rich>
                  <a:bodyPr/>
                  <a:lstStyle/>
                  <a:p>
                    <a:fld id="{48B292F7-F209-43C0-AFA8-AC133AED044B}" type="CELLRANGE">
                      <a:rPr lang="en-US"/>
                      <a:pPr/>
                      <a:t>[CELLRANGE]</a:t>
                    </a:fld>
                    <a:endParaRPr lang="es-A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A603-409B-93EE-EE15BB32C71F}"/>
                </c:ext>
              </c:extLst>
            </c:dLbl>
            <c:dLbl>
              <c:idx val="2"/>
              <c:layout>
                <c:manualLayout>
                  <c:x val="-6.4948458880465895E-2"/>
                  <c:y val="-0.11421912470120266"/>
                </c:manualLayout>
              </c:layout>
              <c:tx>
                <c:rich>
                  <a:bodyPr/>
                  <a:lstStyle/>
                  <a:p>
                    <a:fld id="{001BE3C2-ABE4-4B4B-A8B3-47667B6EF208}" type="CELLRANGE">
                      <a:rPr lang="en-US"/>
                      <a:pPr/>
                      <a:t>[CELLRANGE]</a:t>
                    </a:fld>
                    <a:endParaRPr lang="es-A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A603-409B-93EE-EE15BB32C71F}"/>
                </c:ext>
              </c:extLst>
            </c:dLbl>
            <c:dLbl>
              <c:idx val="3"/>
              <c:layout>
                <c:manualLayout>
                  <c:x val="-2.6239591441204569E-2"/>
                  <c:y val="-0.14694146089213428"/>
                </c:manualLayout>
              </c:layout>
              <c:tx>
                <c:rich>
                  <a:bodyPr/>
                  <a:lstStyle/>
                  <a:p>
                    <a:fld id="{979E92FC-B332-4C87-A574-3C07A07D9A8F}" type="CELLRANGE">
                      <a:rPr lang="en-US"/>
                      <a:pPr/>
                      <a:t>[CELLRANGE]</a:t>
                    </a:fld>
                    <a:endParaRPr lang="es-A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A603-409B-93EE-EE15BB32C71F}"/>
                </c:ext>
              </c:extLst>
            </c:dLbl>
            <c:dLbl>
              <c:idx val="4"/>
              <c:layout>
                <c:manualLayout>
                  <c:x val="0"/>
                  <c:y val="-0.1593558543390603"/>
                </c:manualLayout>
              </c:layout>
              <c:tx>
                <c:rich>
                  <a:bodyPr/>
                  <a:lstStyle/>
                  <a:p>
                    <a:fld id="{0BCDC556-B87E-44A5-BC6D-DE3CB04099A2}" type="CELLRANGE">
                      <a:rPr lang="en-US"/>
                      <a:pPr/>
                      <a:t>[CELLRANGE]</a:t>
                    </a:fld>
                    <a:endParaRPr lang="es-A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A603-409B-93EE-EE15BB32C71F}"/>
                </c:ext>
              </c:extLst>
            </c:dLbl>
            <c:dLbl>
              <c:idx val="5"/>
              <c:layout>
                <c:manualLayout>
                  <c:x val="3.1271480201705781E-2"/>
                  <c:y val="-0.1223776336084314"/>
                </c:manualLayout>
              </c:layout>
              <c:tx>
                <c:rich>
                  <a:bodyPr/>
                  <a:lstStyle/>
                  <a:p>
                    <a:fld id="{4BD67B74-326E-42C4-B4C9-C6008BD727C3}" type="CELLRANGE">
                      <a:rPr lang="en-US"/>
                      <a:pPr/>
                      <a:t>[CELLRANGE]</a:t>
                    </a:fld>
                    <a:endParaRPr lang="es-A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A603-409B-93EE-EE15BB32C71F}"/>
                </c:ext>
              </c:extLst>
            </c:dLbl>
            <c:dLbl>
              <c:idx val="6"/>
              <c:layout>
                <c:manualLayout>
                  <c:x val="5.0515468018140108E-2"/>
                  <c:y val="-0.1060606157939739"/>
                </c:manualLayout>
              </c:layout>
              <c:tx>
                <c:rich>
                  <a:bodyPr/>
                  <a:lstStyle/>
                  <a:p>
                    <a:fld id="{CD1E095B-079B-4BB1-8978-72762DB6F819}" type="CELLRANGE">
                      <a:rPr lang="en-US"/>
                      <a:pPr/>
                      <a:t>[CELLRANGE]</a:t>
                    </a:fld>
                    <a:endParaRPr lang="es-A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A603-409B-93EE-EE15BB32C71F}"/>
                </c:ext>
              </c:extLst>
            </c:dLbl>
            <c:dLbl>
              <c:idx val="7"/>
              <c:layout>
                <c:manualLayout>
                  <c:x val="7.4570452788682837E-2"/>
                  <c:y val="-8.1585089072287634E-2"/>
                </c:manualLayout>
              </c:layout>
              <c:tx>
                <c:rich>
                  <a:bodyPr/>
                  <a:lstStyle/>
                  <a:p>
                    <a:fld id="{333B726C-7063-46CB-8F30-EE5824A7B5D5}" type="CELLRANGE">
                      <a:rPr lang="en-US"/>
                      <a:pPr/>
                      <a:t>[CELLRANGE]</a:t>
                    </a:fld>
                    <a:endParaRPr lang="es-A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A603-409B-93EE-EE15BB32C71F}"/>
                </c:ext>
              </c:extLst>
            </c:dLbl>
            <c:dLbl>
              <c:idx val="8"/>
              <c:layout>
                <c:manualLayout>
                  <c:x val="8.1786948219845806E-2"/>
                  <c:y val="-3.2634035628915113E-2"/>
                </c:manualLayout>
              </c:layout>
              <c:tx>
                <c:rich>
                  <a:bodyPr/>
                  <a:lstStyle/>
                  <a:p>
                    <a:fld id="{4DAB9DA3-680B-470D-AB5B-9DA73EC78695}" type="CELLRANGE">
                      <a:rPr lang="en-US"/>
                      <a:pPr/>
                      <a:t>[CELLRANGE]</a:t>
                    </a:fld>
                    <a:endParaRPr lang="es-A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A603-409B-93EE-EE15BB32C71F}"/>
                </c:ext>
              </c:extLst>
            </c:dLbl>
            <c:dLbl>
              <c:idx val="9"/>
              <c:delete val="1"/>
              <c:extLst>
                <c:ext xmlns:c15="http://schemas.microsoft.com/office/drawing/2012/chart" uri="{CE6537A1-D6FC-4f65-9D91-7224C49458BB}"/>
                <c:ext xmlns:c16="http://schemas.microsoft.com/office/drawing/2014/chart" uri="{C3380CC4-5D6E-409C-BE32-E72D297353CC}">
                  <c16:uniqueId val="{00000013-A603-409B-93EE-EE15BB32C71F}"/>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s-AR"/>
              </a:p>
            </c:txPr>
            <c:showLegendKey val="0"/>
            <c:showVal val="0"/>
            <c:showCatName val="0"/>
            <c:showSerName val="0"/>
            <c:showPercent val="0"/>
            <c:showBubbleSize val="0"/>
            <c:showLeaderLines val="0"/>
            <c:extLst>
              <c:ext xmlns:c15="http://schemas.microsoft.com/office/drawing/2012/chart" uri="{CE6537A1-D6FC-4f65-9D91-7224C49458BB}">
                <c15:showDataLabelsRange val="1"/>
              </c:ext>
            </c:extLst>
          </c:dLbls>
          <c:val>
            <c:numRef>
              <c:f>Tablero!$AO$9:$AO$18</c:f>
              <c:numCache>
                <c:formatCode>General</c:formatCode>
                <c:ptCount val="10"/>
                <c:pt idx="0">
                  <c:v>1</c:v>
                </c:pt>
                <c:pt idx="1">
                  <c:v>1</c:v>
                </c:pt>
                <c:pt idx="2">
                  <c:v>1</c:v>
                </c:pt>
                <c:pt idx="3">
                  <c:v>1</c:v>
                </c:pt>
                <c:pt idx="4">
                  <c:v>1</c:v>
                </c:pt>
                <c:pt idx="5">
                  <c:v>1</c:v>
                </c:pt>
                <c:pt idx="6">
                  <c:v>1</c:v>
                </c:pt>
                <c:pt idx="7">
                  <c:v>1</c:v>
                </c:pt>
                <c:pt idx="8">
                  <c:v>1</c:v>
                </c:pt>
                <c:pt idx="9">
                  <c:v>9</c:v>
                </c:pt>
              </c:numCache>
            </c:numRef>
          </c:val>
          <c:extLst>
            <c:ext xmlns:c15="http://schemas.microsoft.com/office/drawing/2012/chart" uri="{02D57815-91ED-43cb-92C2-25804820EDAC}">
              <c15:datalabelsRange>
                <c15:f>Tablero!$AN$9:$AN$18</c15:f>
                <c15:dlblRangeCache>
                  <c:ptCount val="10"/>
                  <c:pt idx="0">
                    <c:v>10%</c:v>
                  </c:pt>
                  <c:pt idx="1">
                    <c:v>20%</c:v>
                  </c:pt>
                  <c:pt idx="2">
                    <c:v>30%</c:v>
                  </c:pt>
                  <c:pt idx="3">
                    <c:v>40%</c:v>
                  </c:pt>
                  <c:pt idx="4">
                    <c:v>50%</c:v>
                  </c:pt>
                  <c:pt idx="5">
                    <c:v>60%</c:v>
                  </c:pt>
                  <c:pt idx="6">
                    <c:v>70%</c:v>
                  </c:pt>
                  <c:pt idx="7">
                    <c:v>80%</c:v>
                  </c:pt>
                  <c:pt idx="8">
                    <c:v>90%</c:v>
                  </c:pt>
                  <c:pt idx="9">
                    <c:v>100%</c:v>
                  </c:pt>
                </c15:dlblRangeCache>
              </c15:datalabelsRange>
            </c:ext>
            <c:ext xmlns:c16="http://schemas.microsoft.com/office/drawing/2014/chart" uri="{C3380CC4-5D6E-409C-BE32-E72D297353CC}">
              <c16:uniqueId val="{00000014-A603-409B-93EE-EE15BB32C71F}"/>
            </c:ext>
          </c:extLst>
        </c:ser>
        <c:dLbls>
          <c:showLegendKey val="0"/>
          <c:showVal val="0"/>
          <c:showCatName val="0"/>
          <c:showSerName val="0"/>
          <c:showPercent val="0"/>
          <c:showBubbleSize val="0"/>
          <c:showLeaderLines val="0"/>
        </c:dLbls>
        <c:firstSliceAng val="270"/>
        <c:holeSize val="60"/>
      </c:doughnutChart>
      <c:scatterChart>
        <c:scatterStyle val="smoothMarker"/>
        <c:varyColors val="0"/>
        <c:ser>
          <c:idx val="1"/>
          <c:order val="1"/>
          <c:tx>
            <c:v>PUNTOS</c:v>
          </c:tx>
          <c:spPr>
            <a:ln w="38100" cap="rnd">
              <a:solidFill>
                <a:schemeClr val="tx1"/>
              </a:solidFill>
              <a:round/>
              <a:headEnd type="oval"/>
              <a:tailEnd type="triangle"/>
            </a:ln>
            <a:effectLst/>
          </c:spPr>
          <c:marker>
            <c:symbol val="circle"/>
            <c:size val="5"/>
            <c:spPr>
              <a:noFill/>
              <a:ln w="9525">
                <a:noFill/>
              </a:ln>
              <a:effectLst/>
            </c:spPr>
          </c:marker>
          <c:xVal>
            <c:numRef>
              <c:f>Tablero!$AV$10:$AV$11</c:f>
              <c:numCache>
                <c:formatCode>General</c:formatCode>
                <c:ptCount val="2"/>
                <c:pt idx="0">
                  <c:v>0</c:v>
                </c:pt>
                <c:pt idx="1">
                  <c:v>-0.99235511373549157</c:v>
                </c:pt>
              </c:numCache>
            </c:numRef>
          </c:xVal>
          <c:yVal>
            <c:numRef>
              <c:f>Tablero!$AW$10:$AW$11</c:f>
              <c:numCache>
                <c:formatCode>General</c:formatCode>
                <c:ptCount val="2"/>
                <c:pt idx="0">
                  <c:v>0</c:v>
                </c:pt>
                <c:pt idx="1">
                  <c:v>-0.12341526746322637</c:v>
                </c:pt>
              </c:numCache>
            </c:numRef>
          </c:yVal>
          <c:smooth val="1"/>
          <c:extLst>
            <c:ext xmlns:c16="http://schemas.microsoft.com/office/drawing/2014/chart" uri="{C3380CC4-5D6E-409C-BE32-E72D297353CC}">
              <c16:uniqueId val="{00000015-A603-409B-93EE-EE15BB32C71F}"/>
            </c:ext>
          </c:extLst>
        </c:ser>
        <c:ser>
          <c:idx val="2"/>
          <c:order val="2"/>
          <c:tx>
            <c:v>PUNTO2</c:v>
          </c:tx>
          <c:spPr>
            <a:ln w="38100" cap="rnd">
              <a:solidFill>
                <a:schemeClr val="tx1"/>
              </a:solidFill>
              <a:prstDash val="sysDash"/>
              <a:round/>
              <a:headEnd type="oval"/>
              <a:tailEnd type="triangle"/>
            </a:ln>
            <a:effectLst/>
          </c:spPr>
          <c:marker>
            <c:symbol val="circle"/>
            <c:size val="5"/>
            <c:spPr>
              <a:noFill/>
              <a:ln w="9525">
                <a:noFill/>
              </a:ln>
              <a:effectLst/>
            </c:spPr>
          </c:marker>
          <c:xVal>
            <c:numRef>
              <c:f>Tablero!$AV$26:$AV$27</c:f>
              <c:numCache>
                <c:formatCode>General</c:formatCode>
                <c:ptCount val="2"/>
                <c:pt idx="0">
                  <c:v>0</c:v>
                </c:pt>
                <c:pt idx="1">
                  <c:v>-0.97337218592407593</c:v>
                </c:pt>
              </c:numCache>
            </c:numRef>
          </c:xVal>
          <c:yVal>
            <c:numRef>
              <c:f>Tablero!$AW$26:$AW$27</c:f>
              <c:numCache>
                <c:formatCode>General</c:formatCode>
                <c:ptCount val="2"/>
                <c:pt idx="0">
                  <c:v>0</c:v>
                </c:pt>
                <c:pt idx="1">
                  <c:v>0.22923042483358566</c:v>
                </c:pt>
              </c:numCache>
            </c:numRef>
          </c:yVal>
          <c:smooth val="1"/>
          <c:extLst>
            <c:ext xmlns:c16="http://schemas.microsoft.com/office/drawing/2014/chart" uri="{C3380CC4-5D6E-409C-BE32-E72D297353CC}">
              <c16:uniqueId val="{00000014-2127-4200-9109-CC15C6530C12}"/>
            </c:ext>
          </c:extLst>
        </c:ser>
        <c:dLbls>
          <c:showLegendKey val="0"/>
          <c:showVal val="0"/>
          <c:showCatName val="0"/>
          <c:showSerName val="0"/>
          <c:showPercent val="0"/>
          <c:showBubbleSize val="0"/>
        </c:dLbls>
        <c:axId val="373770328"/>
        <c:axId val="373775248"/>
      </c:scatterChart>
      <c:valAx>
        <c:axId val="373775248"/>
        <c:scaling>
          <c:orientation val="minMax"/>
          <c:max val="1"/>
          <c:min val="-1"/>
        </c:scaling>
        <c:delete val="1"/>
        <c:axPos val="l"/>
        <c:numFmt formatCode="General" sourceLinked="1"/>
        <c:majorTickMark val="out"/>
        <c:minorTickMark val="none"/>
        <c:tickLblPos val="nextTo"/>
        <c:crossAx val="373770328"/>
        <c:crosses val="autoZero"/>
        <c:crossBetween val="midCat"/>
      </c:valAx>
      <c:valAx>
        <c:axId val="373770328"/>
        <c:scaling>
          <c:orientation val="minMax"/>
          <c:max val="1"/>
          <c:min val="-1"/>
        </c:scaling>
        <c:delete val="1"/>
        <c:axPos val="b"/>
        <c:numFmt formatCode="General" sourceLinked="1"/>
        <c:majorTickMark val="out"/>
        <c:minorTickMark val="none"/>
        <c:tickLblPos val="nextTo"/>
        <c:crossAx val="373775248"/>
        <c:crosses val="autoZero"/>
        <c:crossBetween val="midCat"/>
      </c:valAx>
      <c:spPr>
        <a:noFill/>
        <a:ln>
          <a:noFill/>
        </a:ln>
        <a:effectLst>
          <a:glow>
            <a:schemeClr val="accent1"/>
          </a:glow>
        </a:effectLst>
      </c:spPr>
    </c:plotArea>
    <c:plotVisOnly val="1"/>
    <c:dispBlanksAs val="gap"/>
    <c:showDLblsOverMax val="0"/>
  </c:chart>
  <c:spPr>
    <a:noFill/>
    <a:ln w="9525" cap="flat" cmpd="sng" algn="ctr">
      <a:noFill/>
      <a:round/>
    </a:ln>
    <a:effectLst/>
  </c:spPr>
  <c:txPr>
    <a:bodyPr/>
    <a:lstStyle/>
    <a:p>
      <a:pPr>
        <a:defRPr/>
      </a:pPr>
      <a:endParaRPr lang="es-A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Reversed" id="26">
  <a:schemeClr val="accent6"/>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Scroll" dx="22" fmlaLink="Tablero!$F$10" horiz="1" inc="5" max="300" noThreeD="1" page="10" val="50"/>
</file>

<file path=xl/ctrlProps/ctrlProp10.xml><?xml version="1.0" encoding="utf-8"?>
<formControlPr xmlns="http://schemas.microsoft.com/office/spreadsheetml/2009/9/main" objectType="Scroll" dx="22" fmlaLink="$F$12" horiz="1" inc="5" max="500" noThreeD="1" page="10" val="50"/>
</file>

<file path=xl/ctrlProps/ctrlProp11.xml><?xml version="1.0" encoding="utf-8"?>
<formControlPr xmlns="http://schemas.microsoft.com/office/spreadsheetml/2009/9/main" objectType="Scroll" dx="22" fmlaLink="$F$13" horiz="1" inc="5" max="500" noThreeD="1" page="10" val="50"/>
</file>

<file path=xl/ctrlProps/ctrlProp12.xml><?xml version="1.0" encoding="utf-8"?>
<formControlPr xmlns="http://schemas.microsoft.com/office/spreadsheetml/2009/9/main" objectType="Scroll" dx="22" fmlaLink="$F$14" horiz="1" inc="5" max="160" noThreeD="1" page="10" val="50"/>
</file>

<file path=xl/ctrlProps/ctrlProp13.xml><?xml version="1.0" encoding="utf-8"?>
<formControlPr xmlns="http://schemas.microsoft.com/office/spreadsheetml/2009/9/main" objectType="Scroll" dx="22" fmlaLink="$F$14" horiz="1" inc="5" max="500" noThreeD="1" page="10" val="50"/>
</file>

<file path=xl/ctrlProps/ctrlProp14.xml><?xml version="1.0" encoding="utf-8"?>
<formControlPr xmlns="http://schemas.microsoft.com/office/spreadsheetml/2009/9/main" objectType="Scroll" dx="22" fmlaLink="$F$15" horiz="1" inc="5" max="500" noThreeD="1" page="10" val="50"/>
</file>

<file path=xl/ctrlProps/ctrlProp2.xml><?xml version="1.0" encoding="utf-8"?>
<formControlPr xmlns="http://schemas.microsoft.com/office/spreadsheetml/2009/9/main" objectType="Scroll" dx="22" fmlaLink="Tablero!$F$12" horiz="1" inc="5" max="300" noThreeD="1" page="10" val="50"/>
</file>

<file path=xl/ctrlProps/ctrlProp3.xml><?xml version="1.0" encoding="utf-8"?>
<formControlPr xmlns="http://schemas.microsoft.com/office/spreadsheetml/2009/9/main" objectType="Scroll" dx="22" fmlaLink="Tablero!$F$14" horiz="1" inc="5" max="300" noThreeD="1" page="10" val="50"/>
</file>

<file path=xl/ctrlProps/ctrlProp4.xml><?xml version="1.0" encoding="utf-8"?>
<formControlPr xmlns="http://schemas.microsoft.com/office/spreadsheetml/2009/9/main" objectType="Scroll" dx="22" fmlaLink="Tablero!$F$11" horiz="1" inc="5" max="300" noThreeD="1" page="10" val="50"/>
</file>

<file path=xl/ctrlProps/ctrlProp5.xml><?xml version="1.0" encoding="utf-8"?>
<formControlPr xmlns="http://schemas.microsoft.com/office/spreadsheetml/2009/9/main" objectType="Scroll" dx="22" fmlaLink="Tablero!$F$15" horiz="1" inc="5" max="300" noThreeD="1" page="10" val="50"/>
</file>

<file path=xl/ctrlProps/ctrlProp6.xml><?xml version="1.0" encoding="utf-8"?>
<formControlPr xmlns="http://schemas.microsoft.com/office/spreadsheetml/2009/9/main" objectType="Scroll" dx="22" fmlaLink="Tablero!$F$13" horiz="1" inc="5" max="300" noThreeD="1" page="10" val="50"/>
</file>

<file path=xl/ctrlProps/ctrlProp7.xml><?xml version="1.0" encoding="utf-8"?>
<formControlPr xmlns="http://schemas.microsoft.com/office/spreadsheetml/2009/9/main" objectType="Scroll" dx="22" fmlaLink="$E$31" horiz="1" inc="5" max="500" noThreeD="1" page="10" val="100"/>
</file>

<file path=xl/ctrlProps/ctrlProp8.xml><?xml version="1.0" encoding="utf-8"?>
<formControlPr xmlns="http://schemas.microsoft.com/office/spreadsheetml/2009/9/main" objectType="Scroll" dx="22" fmlaLink="$F$10" horiz="1" inc="5" max="500" noThreeD="1" page="10" val="50"/>
</file>

<file path=xl/ctrlProps/ctrlProp9.xml><?xml version="1.0" encoding="utf-8"?>
<formControlPr xmlns="http://schemas.microsoft.com/office/spreadsheetml/2009/9/main" objectType="Scroll" dx="22" fmlaLink="$F$11" horiz="1" inc="5" max="500" noThreeD="1" page="10" val="50"/>
</file>

<file path=xl/diagrams/_rels/data1.xml.rels><?xml version="1.0" encoding="UTF-8" standalone="yes"?>
<Relationships xmlns="http://schemas.openxmlformats.org/package/2006/relationships"><Relationship Id="rId8" Type="http://schemas.openxmlformats.org/officeDocument/2006/relationships/hyperlink" Target="#'Carga de datos'!E13"/><Relationship Id="rId3" Type="http://schemas.openxmlformats.org/officeDocument/2006/relationships/hyperlink" Target="#'Carga de datos'!D29"/><Relationship Id="rId7" Type="http://schemas.openxmlformats.org/officeDocument/2006/relationships/hyperlink" Target="#Tablero!A48"/><Relationship Id="rId2" Type="http://schemas.openxmlformats.org/officeDocument/2006/relationships/hyperlink" Target="#'Carga de datos'!D10"/><Relationship Id="rId1" Type="http://schemas.openxmlformats.org/officeDocument/2006/relationships/hyperlink" Target="#'Carga de datos'!D7"/><Relationship Id="rId6" Type="http://schemas.openxmlformats.org/officeDocument/2006/relationships/hyperlink" Target="#'Carga de datos'!G10"/><Relationship Id="rId5" Type="http://schemas.openxmlformats.org/officeDocument/2006/relationships/hyperlink" Target="#Tablero!A1"/><Relationship Id="rId4" Type="http://schemas.openxmlformats.org/officeDocument/2006/relationships/hyperlink" Target="#'Indicadores Empresariales'!B8"/></Relationships>
</file>

<file path=xl/diagrams/colors1.xml><?xml version="1.0" encoding="utf-8"?>
<dgm:colorsDef xmlns:dgm="http://schemas.openxmlformats.org/drawingml/2006/diagram" xmlns:a="http://schemas.openxmlformats.org/drawingml/2006/main" uniqueId="urn:microsoft.com/office/officeart/2005/8/colors/accent6_2">
  <dgm:title val=""/>
  <dgm:desc val=""/>
  <dgm:catLst>
    <dgm:cat type="accent6" pri="11200"/>
  </dgm:catLst>
  <dgm:styleLbl name="node0">
    <dgm:fillClrLst meth="repeat">
      <a:schemeClr val="accent6"/>
    </dgm:fillClrLst>
    <dgm:linClrLst meth="repeat">
      <a:schemeClr val="lt1"/>
    </dgm:linClrLst>
    <dgm:effectClrLst/>
    <dgm:txLinClrLst/>
    <dgm:txFillClrLst/>
    <dgm:txEffectClrLst/>
  </dgm:styleLbl>
  <dgm:styleLbl name="node1">
    <dgm:fillClrLst meth="repeat">
      <a:schemeClr val="accent6"/>
    </dgm:fillClrLst>
    <dgm:linClrLst meth="repeat">
      <a:schemeClr val="lt1"/>
    </dgm:linClrLst>
    <dgm:effectClrLst/>
    <dgm:txLinClrLst/>
    <dgm:txFillClrLst/>
    <dgm:txEffectClrLst/>
  </dgm:styleLbl>
  <dgm:styleLbl name="alignNode1">
    <dgm:fillClrLst meth="repeat">
      <a:schemeClr val="accent6"/>
    </dgm:fillClrLst>
    <dgm:linClrLst meth="repeat">
      <a:schemeClr val="accent6"/>
    </dgm:linClrLst>
    <dgm:effectClrLst/>
    <dgm:txLinClrLst/>
    <dgm:txFillClrLst/>
    <dgm:txEffectClrLst/>
  </dgm:styleLbl>
  <dgm:styleLbl name="lnNode1">
    <dgm:fillClrLst meth="repeat">
      <a:schemeClr val="accent6"/>
    </dgm:fillClrLst>
    <dgm:linClrLst meth="repeat">
      <a:schemeClr val="lt1"/>
    </dgm:linClrLst>
    <dgm:effectClrLst/>
    <dgm:txLinClrLst/>
    <dgm:txFillClrLst/>
    <dgm:txEffectClrLst/>
  </dgm:styleLbl>
  <dgm:styleLbl name="vennNode1">
    <dgm:fillClrLst meth="repeat">
      <a:schemeClr val="accent6">
        <a:alpha val="50000"/>
      </a:schemeClr>
    </dgm:fillClrLst>
    <dgm:linClrLst meth="repeat">
      <a:schemeClr val="lt1"/>
    </dgm:linClrLst>
    <dgm:effectClrLst/>
    <dgm:txLinClrLst/>
    <dgm:txFillClrLst/>
    <dgm:txEffectClrLst/>
  </dgm:styleLbl>
  <dgm:styleLbl name="node2">
    <dgm:fillClrLst meth="repeat">
      <a:schemeClr val="accent6"/>
    </dgm:fillClrLst>
    <dgm:linClrLst meth="repeat">
      <a:schemeClr val="lt1"/>
    </dgm:linClrLst>
    <dgm:effectClrLst/>
    <dgm:txLinClrLst/>
    <dgm:txFillClrLst/>
    <dgm:txEffectClrLst/>
  </dgm:styleLbl>
  <dgm:styleLbl name="node3">
    <dgm:fillClrLst meth="repeat">
      <a:schemeClr val="accent6"/>
    </dgm:fillClrLst>
    <dgm:linClrLst meth="repeat">
      <a:schemeClr val="lt1"/>
    </dgm:linClrLst>
    <dgm:effectClrLst/>
    <dgm:txLinClrLst/>
    <dgm:txFillClrLst/>
    <dgm:txEffectClrLst/>
  </dgm:styleLbl>
  <dgm:styleLbl name="node4">
    <dgm:fillClrLst meth="repeat">
      <a:schemeClr val="accent6"/>
    </dgm:fillClrLst>
    <dgm:linClrLst meth="repeat">
      <a:schemeClr val="lt1"/>
    </dgm:linClrLst>
    <dgm:effectClrLst/>
    <dgm:txLinClrLst/>
    <dgm:txFillClrLst/>
    <dgm:txEffectClrLst/>
  </dgm:styleLbl>
  <dgm:styleLbl name="fgImgPlace1">
    <dgm:fillClrLst meth="repeat">
      <a:schemeClr val="accent6">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6">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6">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a:tint val="50000"/>
      </a:schemeClr>
    </dgm:linClrLst>
    <dgm:effectClrLst/>
    <dgm:txLinClrLst/>
    <dgm:txFillClrLst meth="repeat">
      <a:schemeClr val="tx1"/>
    </dgm:txFillClrLst>
    <dgm:txEffectClrLst/>
  </dgm:styleLbl>
  <dgm:styleLbl name="asst0">
    <dgm:fillClrLst meth="repeat">
      <a:schemeClr val="accent6"/>
    </dgm:fillClrLst>
    <dgm:linClrLst meth="repeat">
      <a:schemeClr val="lt1"/>
    </dgm:linClrLst>
    <dgm:effectClrLst/>
    <dgm:txLinClrLst/>
    <dgm:txFillClrLst/>
    <dgm:txEffectClrLst/>
  </dgm:styleLbl>
  <dgm:styleLbl name="asst1">
    <dgm:fillClrLst meth="repeat">
      <a:schemeClr val="accent6"/>
    </dgm:fillClrLst>
    <dgm:linClrLst meth="repeat">
      <a:schemeClr val="lt1"/>
    </dgm:linClrLst>
    <dgm:effectClrLst/>
    <dgm:txLinClrLst/>
    <dgm:txFillClrLst/>
    <dgm:txEffectClrLst/>
  </dgm:styleLbl>
  <dgm:styleLbl name="asst2">
    <dgm:fillClrLst meth="repeat">
      <a:schemeClr val="accent6"/>
    </dgm:fillClrLst>
    <dgm:linClrLst meth="repeat">
      <a:schemeClr val="lt1"/>
    </dgm:linClrLst>
    <dgm:effectClrLst/>
    <dgm:txLinClrLst/>
    <dgm:txFillClrLst/>
    <dgm:txEffectClrLst/>
  </dgm:styleLbl>
  <dgm:styleLbl name="asst3">
    <dgm:fillClrLst meth="repeat">
      <a:schemeClr val="accent6"/>
    </dgm:fillClrLst>
    <dgm:linClrLst meth="repeat">
      <a:schemeClr val="lt1"/>
    </dgm:linClrLst>
    <dgm:effectClrLst/>
    <dgm:txLinClrLst/>
    <dgm:txFillClrLst/>
    <dgm:txEffectClrLst/>
  </dgm:styleLbl>
  <dgm:styleLbl name="asst4">
    <dgm:fillClrLst meth="repeat">
      <a:schemeClr val="accent6"/>
    </dgm:fillClrLst>
    <dgm:linClrLst meth="repeat">
      <a:schemeClr val="lt1"/>
    </dgm:linClrLst>
    <dgm:effectClrLst/>
    <dgm:txLinClrLst/>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meth="repeat">
      <a:schemeClr val="lt1"/>
    </dgm:txFillClrLst>
    <dgm:txEffectClrLst/>
  </dgm:styleLbl>
  <dgm:styleLbl name="parChTrans2D2">
    <dgm:fillClrLst meth="repeat">
      <a:schemeClr val="accent6"/>
    </dgm:fillClrLst>
    <dgm:linClrLst meth="repeat">
      <a:schemeClr val="accent6"/>
    </dgm:linClrLst>
    <dgm:effectClrLst/>
    <dgm:txLinClrLst/>
    <dgm:txFillClrLst meth="repeat">
      <a:schemeClr val="lt1"/>
    </dgm:txFillClrLst>
    <dgm:txEffectClrLst/>
  </dgm:styleLbl>
  <dgm:styleLbl name="parChTrans2D3">
    <dgm:fillClrLst meth="repeat">
      <a:schemeClr val="accent6"/>
    </dgm:fillClrLst>
    <dgm:linClrLst meth="repeat">
      <a:schemeClr val="accent6"/>
    </dgm:linClrLst>
    <dgm:effectClrLst/>
    <dgm:txLinClrLst/>
    <dgm:txFillClrLst meth="repeat">
      <a:schemeClr val="lt1"/>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6"/>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6"/>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6"/>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6"/>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accent6">
        <a:alpha val="90000"/>
        <a:tint val="40000"/>
      </a:schemeClr>
    </dgm:fillClrLst>
    <dgm:linClrLst meth="repeat">
      <a:schemeClr val="accent6">
        <a:alpha val="90000"/>
        <a:tint val="40000"/>
      </a:schemeClr>
    </dgm:linClrLst>
    <dgm:effectClrLst/>
    <dgm:txLinClrLst/>
    <dgm:txFillClrLst meth="repeat">
      <a:schemeClr val="dk1"/>
    </dgm:txFillClrLst>
    <dgm:txEffectClrLst/>
  </dgm:styleLbl>
  <dgm:styleLbl name="alignAccFollowNode1">
    <dgm:fillClrLst meth="repeat">
      <a:schemeClr val="accent6">
        <a:alpha val="90000"/>
        <a:tint val="40000"/>
      </a:schemeClr>
    </dgm:fillClrLst>
    <dgm:linClrLst meth="repeat">
      <a:schemeClr val="accent6">
        <a:alpha val="90000"/>
        <a:tint val="40000"/>
      </a:schemeClr>
    </dgm:linClrLst>
    <dgm:effectClrLst/>
    <dgm:txLinClrLst/>
    <dgm:txFillClrLst meth="repeat">
      <a:schemeClr val="dk1"/>
    </dgm:txFillClrLst>
    <dgm:txEffectClrLst/>
  </dgm:styleLbl>
  <dgm:styleLbl name="bgAccFollowNode1">
    <dgm:fillClrLst meth="repeat">
      <a:schemeClr val="accent6">
        <a:alpha val="90000"/>
        <a:tint val="40000"/>
      </a:schemeClr>
    </dgm:fillClrLst>
    <dgm:linClrLst meth="repeat">
      <a:schemeClr val="accent6">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6"/>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6"/>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6"/>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4AE43E51-8222-49E3-B8B0-EC4528628FFD}" type="doc">
      <dgm:prSet loTypeId="urn:microsoft.com/office/officeart/2005/8/layout/process4" loCatId="process" qsTypeId="urn:microsoft.com/office/officeart/2005/8/quickstyle/simple1" qsCatId="simple" csTypeId="urn:microsoft.com/office/officeart/2005/8/colors/accent6_2" csCatId="accent6" phldr="1"/>
      <dgm:spPr/>
      <dgm:t>
        <a:bodyPr/>
        <a:lstStyle/>
        <a:p>
          <a:endParaRPr lang="es-AR"/>
        </a:p>
      </dgm:t>
    </dgm:pt>
    <dgm:pt modelId="{4E01B6C2-1709-4478-AF75-D0425499B64A}">
      <dgm:prSet phldrT="[Texto]"/>
      <dgm:spPr/>
      <dgm:t>
        <a:bodyPr/>
        <a:lstStyle/>
        <a:p>
          <a:pPr algn="ctr"/>
          <a:r>
            <a:rPr lang="es-AR" b="1"/>
            <a:t>1. Cargar ejercicio y moneda (obligatorio)</a:t>
          </a:r>
        </a:p>
      </dgm:t>
      <dgm:extLst>
        <a:ext uri="{E40237B7-FDA0-4F09-8148-C483321AD2D9}">
          <dgm14:cNvPr xmlns:dgm14="http://schemas.microsoft.com/office/drawing/2010/diagram" id="0" name="">
            <a:hlinkClick xmlns:r="http://schemas.openxmlformats.org/officeDocument/2006/relationships" r:id="rId1"/>
          </dgm14:cNvPr>
        </a:ext>
      </dgm:extLst>
    </dgm:pt>
    <dgm:pt modelId="{A612AEC2-61D1-4F48-BD64-2F510063BC96}" type="parTrans" cxnId="{18D5CCAB-6C3E-411C-9492-C00CFC141208}">
      <dgm:prSet/>
      <dgm:spPr/>
      <dgm:t>
        <a:bodyPr/>
        <a:lstStyle/>
        <a:p>
          <a:endParaRPr lang="es-AR"/>
        </a:p>
      </dgm:t>
    </dgm:pt>
    <dgm:pt modelId="{C1FC295B-7479-48DB-8272-7AE73C0C75D6}" type="sibTrans" cxnId="{18D5CCAB-6C3E-411C-9492-C00CFC141208}">
      <dgm:prSet/>
      <dgm:spPr/>
      <dgm:t>
        <a:bodyPr/>
        <a:lstStyle/>
        <a:p>
          <a:endParaRPr lang="es-AR"/>
        </a:p>
      </dgm:t>
    </dgm:pt>
    <dgm:pt modelId="{E15FEACB-C135-48EE-8DA7-A1ABAA47603F}">
      <dgm:prSet phldrT="[Texto]"/>
      <dgm:spPr/>
      <dgm:t>
        <a:bodyPr/>
        <a:lstStyle/>
        <a:p>
          <a:pPr algn="ctr"/>
          <a:r>
            <a:rPr lang="es-AR" b="1"/>
            <a:t>2. Cargar datos patrimoniales inicio para calcular indicadores patrimoniales (obligatorio)</a:t>
          </a:r>
        </a:p>
      </dgm:t>
      <dgm:extLst>
        <a:ext uri="{E40237B7-FDA0-4F09-8148-C483321AD2D9}">
          <dgm14:cNvPr xmlns:dgm14="http://schemas.microsoft.com/office/drawing/2010/diagram" id="0" name="">
            <a:hlinkClick xmlns:r="http://schemas.openxmlformats.org/officeDocument/2006/relationships" r:id="rId2"/>
          </dgm14:cNvPr>
        </a:ext>
      </dgm:extLst>
    </dgm:pt>
    <dgm:pt modelId="{E37E09F5-AEB9-4B61-8666-CD9C7E6B8A3A}" type="parTrans" cxnId="{6BA56215-5B07-470D-BA79-53740B267739}">
      <dgm:prSet/>
      <dgm:spPr/>
      <dgm:t>
        <a:bodyPr/>
        <a:lstStyle/>
        <a:p>
          <a:endParaRPr lang="es-AR"/>
        </a:p>
      </dgm:t>
    </dgm:pt>
    <dgm:pt modelId="{9A52B08B-8C4C-4F1F-BB03-F61A20C95883}" type="sibTrans" cxnId="{6BA56215-5B07-470D-BA79-53740B267739}">
      <dgm:prSet/>
      <dgm:spPr/>
      <dgm:t>
        <a:bodyPr/>
        <a:lstStyle/>
        <a:p>
          <a:endParaRPr lang="es-AR"/>
        </a:p>
      </dgm:t>
    </dgm:pt>
    <dgm:pt modelId="{F11D0598-B918-49CE-9583-E15FD393D971}">
      <dgm:prSet phldrT="[Texto]"/>
      <dgm:spPr/>
      <dgm:t>
        <a:bodyPr/>
        <a:lstStyle/>
        <a:p>
          <a:pPr algn="ctr"/>
          <a:r>
            <a:rPr lang="es-AR" b="1"/>
            <a:t>3. Cargar datos económicos (obligatorio)</a:t>
          </a:r>
        </a:p>
      </dgm:t>
      <dgm:extLst>
        <a:ext uri="{E40237B7-FDA0-4F09-8148-C483321AD2D9}">
          <dgm14:cNvPr xmlns:dgm14="http://schemas.microsoft.com/office/drawing/2010/diagram" id="0" name="">
            <a:hlinkClick xmlns:r="http://schemas.openxmlformats.org/officeDocument/2006/relationships" r:id="rId3"/>
          </dgm14:cNvPr>
        </a:ext>
      </dgm:extLst>
    </dgm:pt>
    <dgm:pt modelId="{5805D682-D81A-424A-8E81-58E83B8AA5DF}" type="parTrans" cxnId="{576EDE13-BB0C-4B60-9205-D9750AE140CF}">
      <dgm:prSet/>
      <dgm:spPr/>
      <dgm:t>
        <a:bodyPr/>
        <a:lstStyle/>
        <a:p>
          <a:endParaRPr lang="es-AR"/>
        </a:p>
      </dgm:t>
    </dgm:pt>
    <dgm:pt modelId="{CDE1F504-E68C-4892-BD64-6DAFFBBCE9C8}" type="sibTrans" cxnId="{576EDE13-BB0C-4B60-9205-D9750AE140CF}">
      <dgm:prSet/>
      <dgm:spPr/>
      <dgm:t>
        <a:bodyPr/>
        <a:lstStyle/>
        <a:p>
          <a:endParaRPr lang="es-AR"/>
        </a:p>
      </dgm:t>
    </dgm:pt>
    <dgm:pt modelId="{9C093A65-DB25-4C5C-A004-EE413320D505}">
      <dgm:prSet phldrT="[Texto]"/>
      <dgm:spPr/>
      <dgm:t>
        <a:bodyPr/>
        <a:lstStyle/>
        <a:p>
          <a:pPr algn="ctr"/>
          <a:r>
            <a:rPr lang="es-AR" b="1"/>
            <a:t>6. Analizar indicadores empresariales</a:t>
          </a:r>
        </a:p>
      </dgm:t>
      <dgm:extLst>
        <a:ext uri="{E40237B7-FDA0-4F09-8148-C483321AD2D9}">
          <dgm14:cNvPr xmlns:dgm14="http://schemas.microsoft.com/office/drawing/2010/diagram" id="0" name="">
            <a:hlinkClick xmlns:r="http://schemas.openxmlformats.org/officeDocument/2006/relationships" r:id="rId4"/>
          </dgm14:cNvPr>
        </a:ext>
      </dgm:extLst>
    </dgm:pt>
    <dgm:pt modelId="{881A6D1A-DAAD-4765-ACCE-8001B6F59DCA}" type="parTrans" cxnId="{81B5A406-B26A-4DFD-AD3D-A65AFF1A8B59}">
      <dgm:prSet/>
      <dgm:spPr/>
      <dgm:t>
        <a:bodyPr/>
        <a:lstStyle/>
        <a:p>
          <a:endParaRPr lang="es-AR"/>
        </a:p>
      </dgm:t>
    </dgm:pt>
    <dgm:pt modelId="{FCFBA029-ED2C-4665-B94B-773F3D638530}" type="sibTrans" cxnId="{81B5A406-B26A-4DFD-AD3D-A65AFF1A8B59}">
      <dgm:prSet/>
      <dgm:spPr/>
      <dgm:t>
        <a:bodyPr/>
        <a:lstStyle/>
        <a:p>
          <a:endParaRPr lang="es-AR"/>
        </a:p>
      </dgm:t>
    </dgm:pt>
    <dgm:pt modelId="{67418CCC-9371-486F-9850-8FB14D7D786E}">
      <dgm:prSet phldrT="[Texto]"/>
      <dgm:spPr/>
      <dgm:t>
        <a:bodyPr/>
        <a:lstStyle/>
        <a:p>
          <a:pPr algn="ctr"/>
          <a:r>
            <a:rPr lang="es-AR" b="1"/>
            <a:t>7. Analizar tablero de diagnóstico</a:t>
          </a:r>
        </a:p>
      </dgm:t>
      <dgm:extLst>
        <a:ext uri="{E40237B7-FDA0-4F09-8148-C483321AD2D9}">
          <dgm14:cNvPr xmlns:dgm14="http://schemas.microsoft.com/office/drawing/2010/diagram" id="0" name="">
            <a:hlinkClick xmlns:r="http://schemas.openxmlformats.org/officeDocument/2006/relationships" r:id="rId5"/>
          </dgm14:cNvPr>
        </a:ext>
      </dgm:extLst>
    </dgm:pt>
    <dgm:pt modelId="{A8FC276F-2860-4B05-A134-616363A20626}" type="parTrans" cxnId="{5175DA8A-1552-4030-8F96-FCE26199B26E}">
      <dgm:prSet/>
      <dgm:spPr/>
      <dgm:t>
        <a:bodyPr/>
        <a:lstStyle/>
        <a:p>
          <a:endParaRPr lang="es-AR"/>
        </a:p>
      </dgm:t>
    </dgm:pt>
    <dgm:pt modelId="{8F546022-892F-481B-8D98-52AD36D0FEEB}" type="sibTrans" cxnId="{5175DA8A-1552-4030-8F96-FCE26199B26E}">
      <dgm:prSet/>
      <dgm:spPr/>
      <dgm:t>
        <a:bodyPr/>
        <a:lstStyle/>
        <a:p>
          <a:endParaRPr lang="es-AR"/>
        </a:p>
      </dgm:t>
    </dgm:pt>
    <dgm:pt modelId="{79F9722D-9991-47B8-A872-19AC055F9A99}">
      <dgm:prSet phldrT="[Texto]"/>
      <dgm:spPr/>
      <dgm:t>
        <a:bodyPr/>
        <a:lstStyle/>
        <a:p>
          <a:pPr algn="ctr"/>
          <a:r>
            <a:rPr lang="es-AR" b="1"/>
            <a:t>4. Cargar distribución de monedas de los activos corrientes cierre (opcional)</a:t>
          </a:r>
        </a:p>
      </dgm:t>
      <dgm:extLst>
        <a:ext uri="{E40237B7-FDA0-4F09-8148-C483321AD2D9}">
          <dgm14:cNvPr xmlns:dgm14="http://schemas.microsoft.com/office/drawing/2010/diagram" id="0" name="">
            <a:hlinkClick xmlns:r="http://schemas.openxmlformats.org/officeDocument/2006/relationships" r:id="rId6"/>
          </dgm14:cNvPr>
        </a:ext>
      </dgm:extLst>
    </dgm:pt>
    <dgm:pt modelId="{7CEA4736-2B35-4E73-BC17-680C61A01FBC}" type="parTrans" cxnId="{B30F960C-E09D-43F8-BBEA-6B0E4ADB4D3D}">
      <dgm:prSet/>
      <dgm:spPr/>
      <dgm:t>
        <a:bodyPr/>
        <a:lstStyle/>
        <a:p>
          <a:endParaRPr lang="es-AR"/>
        </a:p>
      </dgm:t>
    </dgm:pt>
    <dgm:pt modelId="{704445EF-F7D8-49DA-8642-EF1F4F1B27AB}" type="sibTrans" cxnId="{B30F960C-E09D-43F8-BBEA-6B0E4ADB4D3D}">
      <dgm:prSet/>
      <dgm:spPr/>
      <dgm:t>
        <a:bodyPr/>
        <a:lstStyle/>
        <a:p>
          <a:endParaRPr lang="es-AR"/>
        </a:p>
      </dgm:t>
    </dgm:pt>
    <dgm:pt modelId="{F0CEBF0A-B9B0-4419-88CC-904495AAA3F7}">
      <dgm:prSet phldrT="[Texto]"/>
      <dgm:spPr/>
      <dgm:t>
        <a:bodyPr/>
        <a:lstStyle/>
        <a:p>
          <a:pPr algn="ctr"/>
          <a:r>
            <a:rPr lang="es-AR" b="1"/>
            <a:t>8. Analizar las estrategias posibles a realizar</a:t>
          </a:r>
        </a:p>
      </dgm:t>
      <dgm:extLst>
        <a:ext uri="{E40237B7-FDA0-4F09-8148-C483321AD2D9}">
          <dgm14:cNvPr xmlns:dgm14="http://schemas.microsoft.com/office/drawing/2010/diagram" id="0" name="">
            <a:hlinkClick xmlns:r="http://schemas.openxmlformats.org/officeDocument/2006/relationships" r:id="rId7"/>
          </dgm14:cNvPr>
        </a:ext>
      </dgm:extLst>
    </dgm:pt>
    <dgm:pt modelId="{648D15ED-D1E0-4A12-BF4C-6A100F04E09A}" type="parTrans" cxnId="{37C56C91-C290-4457-BA44-93475A6CC353}">
      <dgm:prSet/>
      <dgm:spPr/>
      <dgm:t>
        <a:bodyPr/>
        <a:lstStyle/>
        <a:p>
          <a:endParaRPr lang="en-US"/>
        </a:p>
      </dgm:t>
    </dgm:pt>
    <dgm:pt modelId="{5C3203B9-10FE-4866-B7BC-57175E8FE8E8}" type="sibTrans" cxnId="{37C56C91-C290-4457-BA44-93475A6CC353}">
      <dgm:prSet/>
      <dgm:spPr/>
      <dgm:t>
        <a:bodyPr/>
        <a:lstStyle/>
        <a:p>
          <a:endParaRPr lang="en-US"/>
        </a:p>
      </dgm:t>
    </dgm:pt>
    <dgm:pt modelId="{A85D7208-95F0-47F6-8128-958538DF2F43}">
      <dgm:prSet phldrT="[Texto]"/>
      <dgm:spPr/>
      <dgm:t>
        <a:bodyPr/>
        <a:lstStyle/>
        <a:p>
          <a:pPr algn="ctr"/>
          <a:r>
            <a:rPr lang="es-AR" b="1"/>
            <a:t>5. Agregar Activo corrientes disponibles (opcional)</a:t>
          </a:r>
        </a:p>
      </dgm:t>
      <dgm:extLst>
        <a:ext uri="{E40237B7-FDA0-4F09-8148-C483321AD2D9}">
          <dgm14:cNvPr xmlns:dgm14="http://schemas.microsoft.com/office/drawing/2010/diagram" id="0" name="">
            <a:hlinkClick xmlns:r="http://schemas.openxmlformats.org/officeDocument/2006/relationships" r:id="rId8"/>
          </dgm14:cNvPr>
        </a:ext>
      </dgm:extLst>
    </dgm:pt>
    <dgm:pt modelId="{E8F858D8-027D-448C-A666-E902700CA6D6}" type="parTrans" cxnId="{239DC9AA-E55B-4E4B-B3A4-F47F4F8725F9}">
      <dgm:prSet/>
      <dgm:spPr/>
      <dgm:t>
        <a:bodyPr/>
        <a:lstStyle/>
        <a:p>
          <a:endParaRPr lang="en-US"/>
        </a:p>
      </dgm:t>
    </dgm:pt>
    <dgm:pt modelId="{6F901789-2E73-4F93-B6D4-7C7297EA62D2}" type="sibTrans" cxnId="{239DC9AA-E55B-4E4B-B3A4-F47F4F8725F9}">
      <dgm:prSet/>
      <dgm:spPr/>
      <dgm:t>
        <a:bodyPr/>
        <a:lstStyle/>
        <a:p>
          <a:endParaRPr lang="en-US"/>
        </a:p>
      </dgm:t>
    </dgm:pt>
    <dgm:pt modelId="{2A3181AB-9C04-4B8E-9A29-D5F7E1FF2D55}" type="pres">
      <dgm:prSet presAssocID="{4AE43E51-8222-49E3-B8B0-EC4528628FFD}" presName="Name0" presStyleCnt="0">
        <dgm:presLayoutVars>
          <dgm:dir/>
          <dgm:animLvl val="lvl"/>
          <dgm:resizeHandles val="exact"/>
        </dgm:presLayoutVars>
      </dgm:prSet>
      <dgm:spPr/>
    </dgm:pt>
    <dgm:pt modelId="{C04393D6-4BA4-4EE0-BFB7-919513FDE0DF}" type="pres">
      <dgm:prSet presAssocID="{F0CEBF0A-B9B0-4419-88CC-904495AAA3F7}" presName="boxAndChildren" presStyleCnt="0"/>
      <dgm:spPr/>
    </dgm:pt>
    <dgm:pt modelId="{73498004-F518-4020-B6D7-3AD083D5ABA1}" type="pres">
      <dgm:prSet presAssocID="{F0CEBF0A-B9B0-4419-88CC-904495AAA3F7}" presName="parentTextBox" presStyleLbl="node1" presStyleIdx="0" presStyleCnt="8"/>
      <dgm:spPr/>
    </dgm:pt>
    <dgm:pt modelId="{26D272CD-CC80-4795-92A4-137DD1065623}" type="pres">
      <dgm:prSet presAssocID="{8F546022-892F-481B-8D98-52AD36D0FEEB}" presName="sp" presStyleCnt="0"/>
      <dgm:spPr/>
    </dgm:pt>
    <dgm:pt modelId="{DDFD770C-F9FB-43A0-824A-68999C575FBA}" type="pres">
      <dgm:prSet presAssocID="{67418CCC-9371-486F-9850-8FB14D7D786E}" presName="arrowAndChildren" presStyleCnt="0"/>
      <dgm:spPr/>
    </dgm:pt>
    <dgm:pt modelId="{8FC9220C-922D-45D3-BB8F-4E78CF75E623}" type="pres">
      <dgm:prSet presAssocID="{67418CCC-9371-486F-9850-8FB14D7D786E}" presName="parentTextArrow" presStyleLbl="node1" presStyleIdx="1" presStyleCnt="8"/>
      <dgm:spPr/>
    </dgm:pt>
    <dgm:pt modelId="{B64C6BCC-A4EF-4B7A-8B5A-91F6081F578C}" type="pres">
      <dgm:prSet presAssocID="{FCFBA029-ED2C-4665-B94B-773F3D638530}" presName="sp" presStyleCnt="0"/>
      <dgm:spPr/>
    </dgm:pt>
    <dgm:pt modelId="{0660C094-4C59-4D34-B5A5-280896735233}" type="pres">
      <dgm:prSet presAssocID="{9C093A65-DB25-4C5C-A004-EE413320D505}" presName="arrowAndChildren" presStyleCnt="0"/>
      <dgm:spPr/>
    </dgm:pt>
    <dgm:pt modelId="{16FE0519-FE3A-406A-AA8C-41CD647602A9}" type="pres">
      <dgm:prSet presAssocID="{9C093A65-DB25-4C5C-A004-EE413320D505}" presName="parentTextArrow" presStyleLbl="node1" presStyleIdx="2" presStyleCnt="8"/>
      <dgm:spPr/>
    </dgm:pt>
    <dgm:pt modelId="{07ECAA1A-3EC8-4EE1-82AB-EB1EB894681D}" type="pres">
      <dgm:prSet presAssocID="{6F901789-2E73-4F93-B6D4-7C7297EA62D2}" presName="sp" presStyleCnt="0"/>
      <dgm:spPr/>
    </dgm:pt>
    <dgm:pt modelId="{31041381-7590-4F41-98B1-7FC686ACE6E4}" type="pres">
      <dgm:prSet presAssocID="{A85D7208-95F0-47F6-8128-958538DF2F43}" presName="arrowAndChildren" presStyleCnt="0"/>
      <dgm:spPr/>
    </dgm:pt>
    <dgm:pt modelId="{8062A579-46EF-42A3-A325-A825EB5A9126}" type="pres">
      <dgm:prSet presAssocID="{A85D7208-95F0-47F6-8128-958538DF2F43}" presName="parentTextArrow" presStyleLbl="node1" presStyleIdx="3" presStyleCnt="8"/>
      <dgm:spPr/>
    </dgm:pt>
    <dgm:pt modelId="{1CB228B8-9492-439F-93DE-2CE17CDFE5A1}" type="pres">
      <dgm:prSet presAssocID="{704445EF-F7D8-49DA-8642-EF1F4F1B27AB}" presName="sp" presStyleCnt="0"/>
      <dgm:spPr/>
    </dgm:pt>
    <dgm:pt modelId="{0A386241-1C41-4562-8313-749BD5B80688}" type="pres">
      <dgm:prSet presAssocID="{79F9722D-9991-47B8-A872-19AC055F9A99}" presName="arrowAndChildren" presStyleCnt="0"/>
      <dgm:spPr/>
    </dgm:pt>
    <dgm:pt modelId="{441A4195-C6E5-4E60-9C67-D12F0C8D460E}" type="pres">
      <dgm:prSet presAssocID="{79F9722D-9991-47B8-A872-19AC055F9A99}" presName="parentTextArrow" presStyleLbl="node1" presStyleIdx="4" presStyleCnt="8"/>
      <dgm:spPr/>
    </dgm:pt>
    <dgm:pt modelId="{E1FDF0C9-7563-406D-9EC6-34344CF9D95E}" type="pres">
      <dgm:prSet presAssocID="{CDE1F504-E68C-4892-BD64-6DAFFBBCE9C8}" presName="sp" presStyleCnt="0"/>
      <dgm:spPr/>
    </dgm:pt>
    <dgm:pt modelId="{8AAEBE89-E214-4503-A176-69B1700BCC5C}" type="pres">
      <dgm:prSet presAssocID="{F11D0598-B918-49CE-9583-E15FD393D971}" presName="arrowAndChildren" presStyleCnt="0"/>
      <dgm:spPr/>
    </dgm:pt>
    <dgm:pt modelId="{8FDF1F94-F0EA-454B-8D55-24CF28D83A91}" type="pres">
      <dgm:prSet presAssocID="{F11D0598-B918-49CE-9583-E15FD393D971}" presName="parentTextArrow" presStyleLbl="node1" presStyleIdx="5" presStyleCnt="8"/>
      <dgm:spPr/>
    </dgm:pt>
    <dgm:pt modelId="{ACD3E67D-402C-4982-A300-F96C6B22B9AE}" type="pres">
      <dgm:prSet presAssocID="{9A52B08B-8C4C-4F1F-BB03-F61A20C95883}" presName="sp" presStyleCnt="0"/>
      <dgm:spPr/>
    </dgm:pt>
    <dgm:pt modelId="{D1A9C254-BE33-4282-92B4-B3575840C726}" type="pres">
      <dgm:prSet presAssocID="{E15FEACB-C135-48EE-8DA7-A1ABAA47603F}" presName="arrowAndChildren" presStyleCnt="0"/>
      <dgm:spPr/>
    </dgm:pt>
    <dgm:pt modelId="{33399644-7615-482F-A9C6-42D83C7EC045}" type="pres">
      <dgm:prSet presAssocID="{E15FEACB-C135-48EE-8DA7-A1ABAA47603F}" presName="parentTextArrow" presStyleLbl="node1" presStyleIdx="6" presStyleCnt="8"/>
      <dgm:spPr/>
    </dgm:pt>
    <dgm:pt modelId="{00C05586-3E31-4FCA-83F8-C556A7F914BE}" type="pres">
      <dgm:prSet presAssocID="{C1FC295B-7479-48DB-8272-7AE73C0C75D6}" presName="sp" presStyleCnt="0"/>
      <dgm:spPr/>
    </dgm:pt>
    <dgm:pt modelId="{839C812D-5848-406E-BC7A-B0E3A42AABCD}" type="pres">
      <dgm:prSet presAssocID="{4E01B6C2-1709-4478-AF75-D0425499B64A}" presName="arrowAndChildren" presStyleCnt="0"/>
      <dgm:spPr/>
    </dgm:pt>
    <dgm:pt modelId="{EEF91B50-2DF6-4337-8AD5-5CE1C32B223A}" type="pres">
      <dgm:prSet presAssocID="{4E01B6C2-1709-4478-AF75-D0425499B64A}" presName="parentTextArrow" presStyleLbl="node1" presStyleIdx="7" presStyleCnt="8"/>
      <dgm:spPr/>
    </dgm:pt>
  </dgm:ptLst>
  <dgm:cxnLst>
    <dgm:cxn modelId="{81B5A406-B26A-4DFD-AD3D-A65AFF1A8B59}" srcId="{4AE43E51-8222-49E3-B8B0-EC4528628FFD}" destId="{9C093A65-DB25-4C5C-A004-EE413320D505}" srcOrd="5" destOrd="0" parTransId="{881A6D1A-DAAD-4765-ACCE-8001B6F59DCA}" sibTransId="{FCFBA029-ED2C-4665-B94B-773F3D638530}"/>
    <dgm:cxn modelId="{B30F960C-E09D-43F8-BBEA-6B0E4ADB4D3D}" srcId="{4AE43E51-8222-49E3-B8B0-EC4528628FFD}" destId="{79F9722D-9991-47B8-A872-19AC055F9A99}" srcOrd="3" destOrd="0" parTransId="{7CEA4736-2B35-4E73-BC17-680C61A01FBC}" sibTransId="{704445EF-F7D8-49DA-8642-EF1F4F1B27AB}"/>
    <dgm:cxn modelId="{576EDE13-BB0C-4B60-9205-D9750AE140CF}" srcId="{4AE43E51-8222-49E3-B8B0-EC4528628FFD}" destId="{F11D0598-B918-49CE-9583-E15FD393D971}" srcOrd="2" destOrd="0" parTransId="{5805D682-D81A-424A-8E81-58E83B8AA5DF}" sibTransId="{CDE1F504-E68C-4892-BD64-6DAFFBBCE9C8}"/>
    <dgm:cxn modelId="{6BA56215-5B07-470D-BA79-53740B267739}" srcId="{4AE43E51-8222-49E3-B8B0-EC4528628FFD}" destId="{E15FEACB-C135-48EE-8DA7-A1ABAA47603F}" srcOrd="1" destOrd="0" parTransId="{E37E09F5-AEB9-4B61-8666-CD9C7E6B8A3A}" sibTransId="{9A52B08B-8C4C-4F1F-BB03-F61A20C95883}"/>
    <dgm:cxn modelId="{3D25DE18-5F9C-4D06-B578-2B074579755F}" type="presOf" srcId="{9C093A65-DB25-4C5C-A004-EE413320D505}" destId="{16FE0519-FE3A-406A-AA8C-41CD647602A9}" srcOrd="0" destOrd="0" presId="urn:microsoft.com/office/officeart/2005/8/layout/process4"/>
    <dgm:cxn modelId="{A575D522-7B6A-433D-8599-A3BAA34D5976}" type="presOf" srcId="{F0CEBF0A-B9B0-4419-88CC-904495AAA3F7}" destId="{73498004-F518-4020-B6D7-3AD083D5ABA1}" srcOrd="0" destOrd="0" presId="urn:microsoft.com/office/officeart/2005/8/layout/process4"/>
    <dgm:cxn modelId="{B482E873-D823-44F1-8D2F-8D9A75F57B7A}" type="presOf" srcId="{4E01B6C2-1709-4478-AF75-D0425499B64A}" destId="{EEF91B50-2DF6-4337-8AD5-5CE1C32B223A}" srcOrd="0" destOrd="0" presId="urn:microsoft.com/office/officeart/2005/8/layout/process4"/>
    <dgm:cxn modelId="{73A2BD84-9157-41FD-BA72-F5271463EBBD}" type="presOf" srcId="{A85D7208-95F0-47F6-8128-958538DF2F43}" destId="{8062A579-46EF-42A3-A325-A825EB5A9126}" srcOrd="0" destOrd="0" presId="urn:microsoft.com/office/officeart/2005/8/layout/process4"/>
    <dgm:cxn modelId="{A0412D86-AD95-421F-A527-831A38724B3E}" type="presOf" srcId="{67418CCC-9371-486F-9850-8FB14D7D786E}" destId="{8FC9220C-922D-45D3-BB8F-4E78CF75E623}" srcOrd="0" destOrd="0" presId="urn:microsoft.com/office/officeart/2005/8/layout/process4"/>
    <dgm:cxn modelId="{5175DA8A-1552-4030-8F96-FCE26199B26E}" srcId="{4AE43E51-8222-49E3-B8B0-EC4528628FFD}" destId="{67418CCC-9371-486F-9850-8FB14D7D786E}" srcOrd="6" destOrd="0" parTransId="{A8FC276F-2860-4B05-A134-616363A20626}" sibTransId="{8F546022-892F-481B-8D98-52AD36D0FEEB}"/>
    <dgm:cxn modelId="{37C56C91-C290-4457-BA44-93475A6CC353}" srcId="{4AE43E51-8222-49E3-B8B0-EC4528628FFD}" destId="{F0CEBF0A-B9B0-4419-88CC-904495AAA3F7}" srcOrd="7" destOrd="0" parTransId="{648D15ED-D1E0-4A12-BF4C-6A100F04E09A}" sibTransId="{5C3203B9-10FE-4866-B7BC-57175E8FE8E8}"/>
    <dgm:cxn modelId="{9D136D9F-F962-4787-A1F0-5B2862D7A536}" type="presOf" srcId="{79F9722D-9991-47B8-A872-19AC055F9A99}" destId="{441A4195-C6E5-4E60-9C67-D12F0C8D460E}" srcOrd="0" destOrd="0" presId="urn:microsoft.com/office/officeart/2005/8/layout/process4"/>
    <dgm:cxn modelId="{239DC9AA-E55B-4E4B-B3A4-F47F4F8725F9}" srcId="{4AE43E51-8222-49E3-B8B0-EC4528628FFD}" destId="{A85D7208-95F0-47F6-8128-958538DF2F43}" srcOrd="4" destOrd="0" parTransId="{E8F858D8-027D-448C-A666-E902700CA6D6}" sibTransId="{6F901789-2E73-4F93-B6D4-7C7297EA62D2}"/>
    <dgm:cxn modelId="{18D5CCAB-6C3E-411C-9492-C00CFC141208}" srcId="{4AE43E51-8222-49E3-B8B0-EC4528628FFD}" destId="{4E01B6C2-1709-4478-AF75-D0425499B64A}" srcOrd="0" destOrd="0" parTransId="{A612AEC2-61D1-4F48-BD64-2F510063BC96}" sibTransId="{C1FC295B-7479-48DB-8272-7AE73C0C75D6}"/>
    <dgm:cxn modelId="{69414FB1-FFBC-4F8F-94C6-CF48273CB2A9}" type="presOf" srcId="{F11D0598-B918-49CE-9583-E15FD393D971}" destId="{8FDF1F94-F0EA-454B-8D55-24CF28D83A91}" srcOrd="0" destOrd="0" presId="urn:microsoft.com/office/officeart/2005/8/layout/process4"/>
    <dgm:cxn modelId="{1465D4B7-4020-42FF-BB59-2E7D0AFCE94C}" type="presOf" srcId="{E15FEACB-C135-48EE-8DA7-A1ABAA47603F}" destId="{33399644-7615-482F-A9C6-42D83C7EC045}" srcOrd="0" destOrd="0" presId="urn:microsoft.com/office/officeart/2005/8/layout/process4"/>
    <dgm:cxn modelId="{E5FB34CF-E845-40F8-BD02-016FF72D0E11}" type="presOf" srcId="{4AE43E51-8222-49E3-B8B0-EC4528628FFD}" destId="{2A3181AB-9C04-4B8E-9A29-D5F7E1FF2D55}" srcOrd="0" destOrd="0" presId="urn:microsoft.com/office/officeart/2005/8/layout/process4"/>
    <dgm:cxn modelId="{8A1327C9-4FA3-4F8C-9D1C-66DF022E3874}" type="presParOf" srcId="{2A3181AB-9C04-4B8E-9A29-D5F7E1FF2D55}" destId="{C04393D6-4BA4-4EE0-BFB7-919513FDE0DF}" srcOrd="0" destOrd="0" presId="urn:microsoft.com/office/officeart/2005/8/layout/process4"/>
    <dgm:cxn modelId="{93B26F54-38FB-457C-BBB1-871BD1D01357}" type="presParOf" srcId="{C04393D6-4BA4-4EE0-BFB7-919513FDE0DF}" destId="{73498004-F518-4020-B6D7-3AD083D5ABA1}" srcOrd="0" destOrd="0" presId="urn:microsoft.com/office/officeart/2005/8/layout/process4"/>
    <dgm:cxn modelId="{C765DF8F-3651-4655-BB9A-98AE10E16941}" type="presParOf" srcId="{2A3181AB-9C04-4B8E-9A29-D5F7E1FF2D55}" destId="{26D272CD-CC80-4795-92A4-137DD1065623}" srcOrd="1" destOrd="0" presId="urn:microsoft.com/office/officeart/2005/8/layout/process4"/>
    <dgm:cxn modelId="{C17D16A5-341E-45BC-B22F-E758B817D68E}" type="presParOf" srcId="{2A3181AB-9C04-4B8E-9A29-D5F7E1FF2D55}" destId="{DDFD770C-F9FB-43A0-824A-68999C575FBA}" srcOrd="2" destOrd="0" presId="urn:microsoft.com/office/officeart/2005/8/layout/process4"/>
    <dgm:cxn modelId="{2F4230AA-0F38-4EE1-AD9F-D6F974D844AD}" type="presParOf" srcId="{DDFD770C-F9FB-43A0-824A-68999C575FBA}" destId="{8FC9220C-922D-45D3-BB8F-4E78CF75E623}" srcOrd="0" destOrd="0" presId="urn:microsoft.com/office/officeart/2005/8/layout/process4"/>
    <dgm:cxn modelId="{96E7AF3E-37F8-4343-A951-3338FCB68387}" type="presParOf" srcId="{2A3181AB-9C04-4B8E-9A29-D5F7E1FF2D55}" destId="{B64C6BCC-A4EF-4B7A-8B5A-91F6081F578C}" srcOrd="3" destOrd="0" presId="urn:microsoft.com/office/officeart/2005/8/layout/process4"/>
    <dgm:cxn modelId="{B7042B5F-C57A-4A78-B244-FDC0789B284D}" type="presParOf" srcId="{2A3181AB-9C04-4B8E-9A29-D5F7E1FF2D55}" destId="{0660C094-4C59-4D34-B5A5-280896735233}" srcOrd="4" destOrd="0" presId="urn:microsoft.com/office/officeart/2005/8/layout/process4"/>
    <dgm:cxn modelId="{95A770F6-A032-4DCB-AD30-9C7A33EB1FC9}" type="presParOf" srcId="{0660C094-4C59-4D34-B5A5-280896735233}" destId="{16FE0519-FE3A-406A-AA8C-41CD647602A9}" srcOrd="0" destOrd="0" presId="urn:microsoft.com/office/officeart/2005/8/layout/process4"/>
    <dgm:cxn modelId="{AE0034E3-7AEB-4ED5-9B05-0AB3C983CB38}" type="presParOf" srcId="{2A3181AB-9C04-4B8E-9A29-D5F7E1FF2D55}" destId="{07ECAA1A-3EC8-4EE1-82AB-EB1EB894681D}" srcOrd="5" destOrd="0" presId="urn:microsoft.com/office/officeart/2005/8/layout/process4"/>
    <dgm:cxn modelId="{313BB8AF-42B6-4224-9F83-A76ABB5C7246}" type="presParOf" srcId="{2A3181AB-9C04-4B8E-9A29-D5F7E1FF2D55}" destId="{31041381-7590-4F41-98B1-7FC686ACE6E4}" srcOrd="6" destOrd="0" presId="urn:microsoft.com/office/officeart/2005/8/layout/process4"/>
    <dgm:cxn modelId="{66A1E15F-C32C-4AAF-A882-9927DD810B59}" type="presParOf" srcId="{31041381-7590-4F41-98B1-7FC686ACE6E4}" destId="{8062A579-46EF-42A3-A325-A825EB5A9126}" srcOrd="0" destOrd="0" presId="urn:microsoft.com/office/officeart/2005/8/layout/process4"/>
    <dgm:cxn modelId="{3713413F-EDBA-47C7-8966-8198E6E0E356}" type="presParOf" srcId="{2A3181AB-9C04-4B8E-9A29-D5F7E1FF2D55}" destId="{1CB228B8-9492-439F-93DE-2CE17CDFE5A1}" srcOrd="7" destOrd="0" presId="urn:microsoft.com/office/officeart/2005/8/layout/process4"/>
    <dgm:cxn modelId="{F5C750BB-0DFE-4BBE-A11D-F2318E93DB14}" type="presParOf" srcId="{2A3181AB-9C04-4B8E-9A29-D5F7E1FF2D55}" destId="{0A386241-1C41-4562-8313-749BD5B80688}" srcOrd="8" destOrd="0" presId="urn:microsoft.com/office/officeart/2005/8/layout/process4"/>
    <dgm:cxn modelId="{1F17867E-DE04-4C70-B20B-8076EDA3FBE1}" type="presParOf" srcId="{0A386241-1C41-4562-8313-749BD5B80688}" destId="{441A4195-C6E5-4E60-9C67-D12F0C8D460E}" srcOrd="0" destOrd="0" presId="urn:microsoft.com/office/officeart/2005/8/layout/process4"/>
    <dgm:cxn modelId="{9D43301E-F3E2-4489-A2AD-059CB5A21502}" type="presParOf" srcId="{2A3181AB-9C04-4B8E-9A29-D5F7E1FF2D55}" destId="{E1FDF0C9-7563-406D-9EC6-34344CF9D95E}" srcOrd="9" destOrd="0" presId="urn:microsoft.com/office/officeart/2005/8/layout/process4"/>
    <dgm:cxn modelId="{2CE3FEBA-AFD8-4173-817E-755DF85A12C2}" type="presParOf" srcId="{2A3181AB-9C04-4B8E-9A29-D5F7E1FF2D55}" destId="{8AAEBE89-E214-4503-A176-69B1700BCC5C}" srcOrd="10" destOrd="0" presId="urn:microsoft.com/office/officeart/2005/8/layout/process4"/>
    <dgm:cxn modelId="{E307F492-12AC-4085-A3DE-A0D02B816243}" type="presParOf" srcId="{8AAEBE89-E214-4503-A176-69B1700BCC5C}" destId="{8FDF1F94-F0EA-454B-8D55-24CF28D83A91}" srcOrd="0" destOrd="0" presId="urn:microsoft.com/office/officeart/2005/8/layout/process4"/>
    <dgm:cxn modelId="{BB7A6795-1228-4E6F-8FB1-63BBAD902353}" type="presParOf" srcId="{2A3181AB-9C04-4B8E-9A29-D5F7E1FF2D55}" destId="{ACD3E67D-402C-4982-A300-F96C6B22B9AE}" srcOrd="11" destOrd="0" presId="urn:microsoft.com/office/officeart/2005/8/layout/process4"/>
    <dgm:cxn modelId="{7EA91A8C-5038-4E67-BC81-BBE6022B9D69}" type="presParOf" srcId="{2A3181AB-9C04-4B8E-9A29-D5F7E1FF2D55}" destId="{D1A9C254-BE33-4282-92B4-B3575840C726}" srcOrd="12" destOrd="0" presId="urn:microsoft.com/office/officeart/2005/8/layout/process4"/>
    <dgm:cxn modelId="{76D1D204-F249-42C5-AE06-A4FF16539603}" type="presParOf" srcId="{D1A9C254-BE33-4282-92B4-B3575840C726}" destId="{33399644-7615-482F-A9C6-42D83C7EC045}" srcOrd="0" destOrd="0" presId="urn:microsoft.com/office/officeart/2005/8/layout/process4"/>
    <dgm:cxn modelId="{5841A1BC-6FA7-409B-AB91-BF028ED367C3}" type="presParOf" srcId="{2A3181AB-9C04-4B8E-9A29-D5F7E1FF2D55}" destId="{00C05586-3E31-4FCA-83F8-C556A7F914BE}" srcOrd="13" destOrd="0" presId="urn:microsoft.com/office/officeart/2005/8/layout/process4"/>
    <dgm:cxn modelId="{50FBA75F-1579-4B03-B402-1D1E2E17E2A6}" type="presParOf" srcId="{2A3181AB-9C04-4B8E-9A29-D5F7E1FF2D55}" destId="{839C812D-5848-406E-BC7A-B0E3A42AABCD}" srcOrd="14" destOrd="0" presId="urn:microsoft.com/office/officeart/2005/8/layout/process4"/>
    <dgm:cxn modelId="{EE647309-8D45-4FC3-BA3C-595D3745E9CC}" type="presParOf" srcId="{839C812D-5848-406E-BC7A-B0E3A42AABCD}" destId="{EEF91B50-2DF6-4337-8AD5-5CE1C32B223A}" srcOrd="0" destOrd="0" presId="urn:microsoft.com/office/officeart/2005/8/layout/process4"/>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3498004-F518-4020-B6D7-3AD083D5ABA1}">
      <dsp:nvSpPr>
        <dsp:cNvPr id="0" name=""/>
        <dsp:cNvSpPr/>
      </dsp:nvSpPr>
      <dsp:spPr>
        <a:xfrm>
          <a:off x="0" y="3391803"/>
          <a:ext cx="5680868" cy="318023"/>
        </a:xfrm>
        <a:prstGeom prst="rect">
          <a:avLst/>
        </a:prstGeom>
        <a:solidFill>
          <a:schemeClr val="accent6">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8232" tIns="78232" rIns="78232" bIns="78232" numCol="1" spcCol="1270" anchor="ctr" anchorCtr="0">
          <a:noAutofit/>
        </a:bodyPr>
        <a:lstStyle/>
        <a:p>
          <a:pPr marL="0" lvl="0" indent="0" algn="ctr" defTabSz="488950">
            <a:lnSpc>
              <a:spcPct val="90000"/>
            </a:lnSpc>
            <a:spcBef>
              <a:spcPct val="0"/>
            </a:spcBef>
            <a:spcAft>
              <a:spcPct val="35000"/>
            </a:spcAft>
            <a:buNone/>
          </a:pPr>
          <a:r>
            <a:rPr lang="es-AR" sz="1100" b="1" kern="1200"/>
            <a:t>8. Analizar las estrategias posibles a realizar</a:t>
          </a:r>
        </a:p>
      </dsp:txBody>
      <dsp:txXfrm>
        <a:off x="0" y="3391803"/>
        <a:ext cx="5680868" cy="318023"/>
      </dsp:txXfrm>
    </dsp:sp>
    <dsp:sp modelId="{8FC9220C-922D-45D3-BB8F-4E78CF75E623}">
      <dsp:nvSpPr>
        <dsp:cNvPr id="0" name=""/>
        <dsp:cNvSpPr/>
      </dsp:nvSpPr>
      <dsp:spPr>
        <a:xfrm rot="10800000">
          <a:off x="0" y="2907453"/>
          <a:ext cx="5680868" cy="489120"/>
        </a:xfrm>
        <a:prstGeom prst="upArrowCallout">
          <a:avLst/>
        </a:prstGeom>
        <a:solidFill>
          <a:schemeClr val="accent6">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8232" tIns="78232" rIns="78232" bIns="78232" numCol="1" spcCol="1270" anchor="ctr" anchorCtr="0">
          <a:noAutofit/>
        </a:bodyPr>
        <a:lstStyle/>
        <a:p>
          <a:pPr marL="0" lvl="0" indent="0" algn="ctr" defTabSz="488950">
            <a:lnSpc>
              <a:spcPct val="90000"/>
            </a:lnSpc>
            <a:spcBef>
              <a:spcPct val="0"/>
            </a:spcBef>
            <a:spcAft>
              <a:spcPct val="35000"/>
            </a:spcAft>
            <a:buNone/>
          </a:pPr>
          <a:r>
            <a:rPr lang="es-AR" sz="1100" b="1" kern="1200"/>
            <a:t>7. Analizar tablero de diagnóstico</a:t>
          </a:r>
        </a:p>
      </dsp:txBody>
      <dsp:txXfrm rot="10800000">
        <a:off x="0" y="2907453"/>
        <a:ext cx="5680868" cy="317816"/>
      </dsp:txXfrm>
    </dsp:sp>
    <dsp:sp modelId="{16FE0519-FE3A-406A-AA8C-41CD647602A9}">
      <dsp:nvSpPr>
        <dsp:cNvPr id="0" name=""/>
        <dsp:cNvSpPr/>
      </dsp:nvSpPr>
      <dsp:spPr>
        <a:xfrm rot="10800000">
          <a:off x="0" y="2423103"/>
          <a:ext cx="5680868" cy="489120"/>
        </a:xfrm>
        <a:prstGeom prst="upArrowCallout">
          <a:avLst/>
        </a:prstGeom>
        <a:solidFill>
          <a:schemeClr val="accent6">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8232" tIns="78232" rIns="78232" bIns="78232" numCol="1" spcCol="1270" anchor="ctr" anchorCtr="0">
          <a:noAutofit/>
        </a:bodyPr>
        <a:lstStyle/>
        <a:p>
          <a:pPr marL="0" lvl="0" indent="0" algn="ctr" defTabSz="488950">
            <a:lnSpc>
              <a:spcPct val="90000"/>
            </a:lnSpc>
            <a:spcBef>
              <a:spcPct val="0"/>
            </a:spcBef>
            <a:spcAft>
              <a:spcPct val="35000"/>
            </a:spcAft>
            <a:buNone/>
          </a:pPr>
          <a:r>
            <a:rPr lang="es-AR" sz="1100" b="1" kern="1200"/>
            <a:t>6. Analizar indicadores empresariales</a:t>
          </a:r>
        </a:p>
      </dsp:txBody>
      <dsp:txXfrm rot="10800000">
        <a:off x="0" y="2423103"/>
        <a:ext cx="5680868" cy="317816"/>
      </dsp:txXfrm>
    </dsp:sp>
    <dsp:sp modelId="{8062A579-46EF-42A3-A325-A825EB5A9126}">
      <dsp:nvSpPr>
        <dsp:cNvPr id="0" name=""/>
        <dsp:cNvSpPr/>
      </dsp:nvSpPr>
      <dsp:spPr>
        <a:xfrm rot="10800000">
          <a:off x="0" y="1938753"/>
          <a:ext cx="5680868" cy="489120"/>
        </a:xfrm>
        <a:prstGeom prst="upArrowCallout">
          <a:avLst/>
        </a:prstGeom>
        <a:solidFill>
          <a:schemeClr val="accent6">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8232" tIns="78232" rIns="78232" bIns="78232" numCol="1" spcCol="1270" anchor="ctr" anchorCtr="0">
          <a:noAutofit/>
        </a:bodyPr>
        <a:lstStyle/>
        <a:p>
          <a:pPr marL="0" lvl="0" indent="0" algn="ctr" defTabSz="488950">
            <a:lnSpc>
              <a:spcPct val="90000"/>
            </a:lnSpc>
            <a:spcBef>
              <a:spcPct val="0"/>
            </a:spcBef>
            <a:spcAft>
              <a:spcPct val="35000"/>
            </a:spcAft>
            <a:buNone/>
          </a:pPr>
          <a:r>
            <a:rPr lang="es-AR" sz="1100" b="1" kern="1200"/>
            <a:t>5. Agregar Activo corrientes disponibles (opcional)</a:t>
          </a:r>
        </a:p>
      </dsp:txBody>
      <dsp:txXfrm rot="10800000">
        <a:off x="0" y="1938753"/>
        <a:ext cx="5680868" cy="317816"/>
      </dsp:txXfrm>
    </dsp:sp>
    <dsp:sp modelId="{441A4195-C6E5-4E60-9C67-D12F0C8D460E}">
      <dsp:nvSpPr>
        <dsp:cNvPr id="0" name=""/>
        <dsp:cNvSpPr/>
      </dsp:nvSpPr>
      <dsp:spPr>
        <a:xfrm rot="10800000">
          <a:off x="0" y="1454403"/>
          <a:ext cx="5680868" cy="489120"/>
        </a:xfrm>
        <a:prstGeom prst="upArrowCallout">
          <a:avLst/>
        </a:prstGeom>
        <a:solidFill>
          <a:schemeClr val="accent6">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8232" tIns="78232" rIns="78232" bIns="78232" numCol="1" spcCol="1270" anchor="ctr" anchorCtr="0">
          <a:noAutofit/>
        </a:bodyPr>
        <a:lstStyle/>
        <a:p>
          <a:pPr marL="0" lvl="0" indent="0" algn="ctr" defTabSz="488950">
            <a:lnSpc>
              <a:spcPct val="90000"/>
            </a:lnSpc>
            <a:spcBef>
              <a:spcPct val="0"/>
            </a:spcBef>
            <a:spcAft>
              <a:spcPct val="35000"/>
            </a:spcAft>
            <a:buNone/>
          </a:pPr>
          <a:r>
            <a:rPr lang="es-AR" sz="1100" b="1" kern="1200"/>
            <a:t>4. Cargar distribución de monedas de los activos corrientes cierre (opcional)</a:t>
          </a:r>
        </a:p>
      </dsp:txBody>
      <dsp:txXfrm rot="10800000">
        <a:off x="0" y="1454403"/>
        <a:ext cx="5680868" cy="317816"/>
      </dsp:txXfrm>
    </dsp:sp>
    <dsp:sp modelId="{8FDF1F94-F0EA-454B-8D55-24CF28D83A91}">
      <dsp:nvSpPr>
        <dsp:cNvPr id="0" name=""/>
        <dsp:cNvSpPr/>
      </dsp:nvSpPr>
      <dsp:spPr>
        <a:xfrm rot="10800000">
          <a:off x="0" y="970053"/>
          <a:ext cx="5680868" cy="489120"/>
        </a:xfrm>
        <a:prstGeom prst="upArrowCallout">
          <a:avLst/>
        </a:prstGeom>
        <a:solidFill>
          <a:schemeClr val="accent6">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8232" tIns="78232" rIns="78232" bIns="78232" numCol="1" spcCol="1270" anchor="ctr" anchorCtr="0">
          <a:noAutofit/>
        </a:bodyPr>
        <a:lstStyle/>
        <a:p>
          <a:pPr marL="0" lvl="0" indent="0" algn="ctr" defTabSz="488950">
            <a:lnSpc>
              <a:spcPct val="90000"/>
            </a:lnSpc>
            <a:spcBef>
              <a:spcPct val="0"/>
            </a:spcBef>
            <a:spcAft>
              <a:spcPct val="35000"/>
            </a:spcAft>
            <a:buNone/>
          </a:pPr>
          <a:r>
            <a:rPr lang="es-AR" sz="1100" b="1" kern="1200"/>
            <a:t>3. Cargar datos económicos (obligatorio)</a:t>
          </a:r>
        </a:p>
      </dsp:txBody>
      <dsp:txXfrm rot="10800000">
        <a:off x="0" y="970053"/>
        <a:ext cx="5680868" cy="317816"/>
      </dsp:txXfrm>
    </dsp:sp>
    <dsp:sp modelId="{33399644-7615-482F-A9C6-42D83C7EC045}">
      <dsp:nvSpPr>
        <dsp:cNvPr id="0" name=""/>
        <dsp:cNvSpPr/>
      </dsp:nvSpPr>
      <dsp:spPr>
        <a:xfrm rot="10800000">
          <a:off x="0" y="485703"/>
          <a:ext cx="5680868" cy="489120"/>
        </a:xfrm>
        <a:prstGeom prst="upArrowCallout">
          <a:avLst/>
        </a:prstGeom>
        <a:solidFill>
          <a:schemeClr val="accent6">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8232" tIns="78232" rIns="78232" bIns="78232" numCol="1" spcCol="1270" anchor="ctr" anchorCtr="0">
          <a:noAutofit/>
        </a:bodyPr>
        <a:lstStyle/>
        <a:p>
          <a:pPr marL="0" lvl="0" indent="0" algn="ctr" defTabSz="488950">
            <a:lnSpc>
              <a:spcPct val="90000"/>
            </a:lnSpc>
            <a:spcBef>
              <a:spcPct val="0"/>
            </a:spcBef>
            <a:spcAft>
              <a:spcPct val="35000"/>
            </a:spcAft>
            <a:buNone/>
          </a:pPr>
          <a:r>
            <a:rPr lang="es-AR" sz="1100" b="1" kern="1200"/>
            <a:t>2. Cargar datos patrimoniales inicio para calcular indicadores patrimoniales (obligatorio)</a:t>
          </a:r>
        </a:p>
      </dsp:txBody>
      <dsp:txXfrm rot="10800000">
        <a:off x="0" y="485703"/>
        <a:ext cx="5680868" cy="317816"/>
      </dsp:txXfrm>
    </dsp:sp>
    <dsp:sp modelId="{EEF91B50-2DF6-4337-8AD5-5CE1C32B223A}">
      <dsp:nvSpPr>
        <dsp:cNvPr id="0" name=""/>
        <dsp:cNvSpPr/>
      </dsp:nvSpPr>
      <dsp:spPr>
        <a:xfrm rot="10800000">
          <a:off x="0" y="1354"/>
          <a:ext cx="5680868" cy="489120"/>
        </a:xfrm>
        <a:prstGeom prst="upArrowCallout">
          <a:avLst/>
        </a:prstGeom>
        <a:solidFill>
          <a:schemeClr val="accent6">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8232" tIns="78232" rIns="78232" bIns="78232" numCol="1" spcCol="1270" anchor="ctr" anchorCtr="0">
          <a:noAutofit/>
        </a:bodyPr>
        <a:lstStyle/>
        <a:p>
          <a:pPr marL="0" lvl="0" indent="0" algn="ctr" defTabSz="488950">
            <a:lnSpc>
              <a:spcPct val="90000"/>
            </a:lnSpc>
            <a:spcBef>
              <a:spcPct val="0"/>
            </a:spcBef>
            <a:spcAft>
              <a:spcPct val="35000"/>
            </a:spcAft>
            <a:buNone/>
          </a:pPr>
          <a:r>
            <a:rPr lang="es-AR" sz="1100" b="1" kern="1200"/>
            <a:t>1. Cargar ejercicio y moneda (obligatorio)</a:t>
          </a:r>
        </a:p>
      </dsp:txBody>
      <dsp:txXfrm rot="10800000">
        <a:off x="0" y="1354"/>
        <a:ext cx="5680868" cy="317816"/>
      </dsp:txXfrm>
    </dsp:sp>
  </dsp:spTree>
</dsp:drawing>
</file>

<file path=xl/diagrams/layout1.xml><?xml version="1.0" encoding="utf-8"?>
<dgm:layoutDef xmlns:dgm="http://schemas.openxmlformats.org/drawingml/2006/diagram" xmlns:a="http://schemas.openxmlformats.org/drawingml/2006/main" uniqueId="urn:microsoft.com/office/officeart/2005/8/layout/process4">
  <dgm:title val=""/>
  <dgm:desc val=""/>
  <dgm:catLst>
    <dgm:cat type="process" pri="16000"/>
    <dgm:cat type="list" pri="20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6" srcId="0" destId="3" srcOrd="2" destOrd="0"/>
        <dgm:cxn modelId="13" srcId="1" destId="11" srcOrd="0" destOrd="0"/>
        <dgm:cxn modelId="14" srcId="1" destId="12" srcOrd="1" destOrd="0"/>
        <dgm:cxn modelId="23" srcId="2" destId="21" srcOrd="0" destOrd="0"/>
        <dgm:cxn modelId="24" srcId="2" destId="22" srcOrd="1" destOrd="0"/>
        <dgm:cxn modelId="33" srcId="3" destId="31" srcOrd="0" destOrd="0"/>
        <dgm:cxn modelId="34" srcId="3" destId="32" srcOrd="1" destOrd="0"/>
      </dgm:cxnLst>
      <dgm:bg/>
      <dgm:whole/>
    </dgm:dataModel>
  </dgm:sampData>
  <dgm:styleData>
    <dgm:dataModel>
      <dgm:ptLst>
        <dgm:pt modelId="0" type="doc"/>
        <dgm:pt modelId="1"/>
        <dgm:pt modelId="11"/>
        <dgm:pt modelId="2"/>
        <dgm:pt modelId="21"/>
      </dgm:ptLst>
      <dgm:cxnLst>
        <dgm:cxn modelId="4" srcId="0" destId="1" srcOrd="0" destOrd="0"/>
        <dgm:cxn modelId="5" srcId="0" destId="2" srcOrd="1" destOrd="0"/>
        <dgm:cxn modelId="13" srcId="1" destId="11" srcOrd="0" destOrd="0"/>
        <dgm:cxn modelId="23" srcId="2" destId="21" srcOrd="0" destOrd="0"/>
      </dgm:cxnLst>
      <dgm:bg/>
      <dgm:whole/>
    </dgm:dataModel>
  </dgm:styleData>
  <dgm:clrData>
    <dgm:dataModel>
      <dgm:ptLst>
        <dgm:pt modelId="0" type="doc"/>
        <dgm:pt modelId="1"/>
        <dgm:pt modelId="11"/>
        <dgm:pt modelId="2"/>
        <dgm:pt modelId="21"/>
        <dgm:pt modelId="3"/>
        <dgm:pt modelId="31"/>
        <dgm:pt modelId="4"/>
        <dgm:pt modelId="41"/>
      </dgm:ptLst>
      <dgm:cxnLst>
        <dgm:cxn modelId="5" srcId="0" destId="1" srcOrd="0" destOrd="0"/>
        <dgm:cxn modelId="6" srcId="0" destId="2" srcOrd="1" destOrd="0"/>
        <dgm:cxn modelId="7" srcId="0" destId="3" srcOrd="2" destOrd="0"/>
        <dgm:cxn modelId="8" srcId="0" destId="4" srcOrd="3" destOrd="0"/>
        <dgm:cxn modelId="13" srcId="1" destId="11" srcOrd="0" destOrd="0"/>
        <dgm:cxn modelId="23" srcId="2" destId="21" srcOrd="0" destOrd="0"/>
        <dgm:cxn modelId="33" srcId="3" destId="31" srcOrd="0" destOrd="0"/>
        <dgm:cxn modelId="43" srcId="4" destId="41" srcOrd="0" destOrd="0"/>
      </dgm:cxnLst>
      <dgm:bg/>
      <dgm:whole/>
    </dgm:dataModel>
  </dgm:clrData>
  <dgm:layoutNode name="Name0">
    <dgm:varLst>
      <dgm:dir/>
      <dgm:animLvl val="lvl"/>
      <dgm:resizeHandles val="exact"/>
    </dgm:varLst>
    <dgm:alg type="lin">
      <dgm:param type="linDir" val="fromB"/>
    </dgm:alg>
    <dgm:shape xmlns:r="http://schemas.openxmlformats.org/officeDocument/2006/relationships" r:blip="">
      <dgm:adjLst/>
    </dgm:shape>
    <dgm:presOf/>
    <dgm:constrLst>
      <dgm:constr type="h" for="ch" forName="boxAndChildren" refType="h"/>
      <dgm:constr type="h" for="ch" forName="arrowAndChildren" refType="h" refFor="ch" refForName="boxAndChildren" op="equ" fact="1.538"/>
      <dgm:constr type="w" for="ch" forName="arrowAndChildren" refType="w"/>
      <dgm:constr type="w" for="ch" forName="boxAndChildren" refType="w"/>
      <dgm:constr type="h" for="ch" forName="sp" refType="h" fact="-0.015"/>
      <dgm:constr type="primFontSz" for="des" forName="parentTextBox" val="65"/>
      <dgm:constr type="primFontSz" for="des" forName="parentTextArrow" refType="primFontSz" refFor="des" refForName="parentTextBox" op="equ"/>
      <dgm:constr type="primFontSz" for="des" forName="childTextArrow" val="65"/>
      <dgm:constr type="primFontSz" for="des" forName="childTextBox" refType="primFontSz" refFor="des" refForName="childTextArrow" op="equ"/>
    </dgm:constrLst>
    <dgm:ruleLst/>
    <dgm:forEach name="Name1" axis="ch" ptType="node" st="-1" step="-1">
      <dgm:choose name="Name2">
        <dgm:if name="Name3" axis="self" ptType="node" func="revPos" op="equ" val="1">
          <dgm:layoutNode name="boxAndChildren">
            <dgm:alg type="composite"/>
            <dgm:shape xmlns:r="http://schemas.openxmlformats.org/officeDocument/2006/relationships" r:blip="">
              <dgm:adjLst/>
            </dgm:shape>
            <dgm:presOf/>
            <dgm:choose name="Name4">
              <dgm:if name="Name5" axis="ch" ptType="node" func="cnt" op="gte" val="1">
                <dgm:constrLst>
                  <dgm:constr type="w" for="ch" forName="parentTextBox" refType="w"/>
                  <dgm:constr type="h" for="ch" forName="parentTextBox" refType="h" fact="0.54"/>
                  <dgm:constr type="t" for="ch" forName="parentTextBox"/>
                  <dgm:constr type="w" for="ch" forName="entireBox" refType="w"/>
                  <dgm:constr type="h" for="ch" forName="entireBox" refType="h"/>
                  <dgm:constr type="w" for="ch" forName="descendantBox" refType="w"/>
                  <dgm:constr type="b" for="ch" forName="descendantBox" refType="h" fact="0.98"/>
                  <dgm:constr type="h" for="ch" forName="descendantBox" refType="h" fact="0.46"/>
                </dgm:constrLst>
              </dgm:if>
              <dgm:else name="Name6">
                <dgm:constrLst>
                  <dgm:constr type="w" for="ch" forName="parentTextBox" refType="w"/>
                  <dgm:constr type="h" for="ch" forName="parentTextBox" refType="h"/>
                </dgm:constrLst>
              </dgm:else>
            </dgm:choose>
            <dgm:ruleLst/>
            <dgm:layoutNode name="parentTextBox">
              <dgm:alg type="tx"/>
              <dgm:choose name="Name7">
                <dgm:if name="Name8" axis="ch" ptType="node" func="cnt" op="gte" val="1">
                  <dgm:shape xmlns:r="http://schemas.openxmlformats.org/officeDocument/2006/relationships" type="rect" r:blip="" zOrderOff="1" hideGeom="1">
                    <dgm:adjLst/>
                  </dgm:shape>
                </dgm:if>
                <dgm:else name="Name9">
                  <dgm:shape xmlns:r="http://schemas.openxmlformats.org/officeDocument/2006/relationships" type="rect" r:blip="">
                    <dgm:adjLst/>
                  </dgm:shape>
                </dgm:else>
              </dgm:choose>
              <dgm:presOf axis="self"/>
              <dgm:constrLst/>
              <dgm:ruleLst>
                <dgm:rule type="primFontSz" val="5" fact="NaN" max="NaN"/>
              </dgm:ruleLst>
            </dgm:layoutNode>
            <dgm:choose name="Name10">
              <dgm:if name="Name11" axis="ch" ptType="node" func="cnt" op="gte" val="1">
                <dgm:layoutNode name="entireBox">
                  <dgm:alg type="sp"/>
                  <dgm:shape xmlns:r="http://schemas.openxmlformats.org/officeDocument/2006/relationships" type="rect" r:blip="">
                    <dgm:adjLst/>
                  </dgm:shape>
                  <dgm:presOf axis="self"/>
                  <dgm:constrLst/>
                  <dgm:ruleLst/>
                </dgm:layoutNode>
                <dgm:layoutNode name="descendantBox" styleLbl="fgAccFollowNode1">
                  <dgm:choose name="Name12">
                    <dgm:if name="Name13" func="var" arg="dir" op="equ" val="norm">
                      <dgm:alg type="lin"/>
                    </dgm:if>
                    <dgm:else name="Name14">
                      <dgm:alg type="lin">
                        <dgm:param type="linDir" val="fromR"/>
                      </dgm:alg>
                    </dgm:else>
                  </dgm:choose>
                  <dgm:shape xmlns:r="http://schemas.openxmlformats.org/officeDocument/2006/relationships" r:blip="">
                    <dgm:adjLst/>
                  </dgm:shape>
                  <dgm:presOf/>
                  <dgm:constrLst>
                    <dgm:constr type="w" for="ch" forName="childTextBox" refType="w"/>
                    <dgm:constr type="h" for="ch" forName="childTextBox" refType="h"/>
                  </dgm:constrLst>
                  <dgm:ruleLst/>
                  <dgm:forEach name="Name15" axis="ch" ptType="node">
                    <dgm:layoutNode name="childTextBox" styleLbl="fgAccFollowNode1">
                      <dgm:varLst>
                        <dgm:bulletEnabled val="1"/>
                      </dgm:varLst>
                      <dgm:alg type="tx"/>
                      <dgm:shape xmlns:r="http://schemas.openxmlformats.org/officeDocument/2006/relationships" type="rect" r:blip="">
                        <dgm:adjLst/>
                      </dgm:shape>
                      <dgm:presOf axis="desOrSelf" ptType="node"/>
                      <dgm:constrLst>
                        <dgm:constr type="tMarg" refType="primFontSz" fact="0.1"/>
                        <dgm:constr type="bMarg" refType="primFontSz" fact="0.1"/>
                      </dgm:constrLst>
                      <dgm:ruleLst>
                        <dgm:rule type="primFontSz" val="5" fact="NaN" max="NaN"/>
                      </dgm:ruleLst>
                    </dgm:layoutNode>
                  </dgm:forEach>
                </dgm:layoutNode>
              </dgm:if>
              <dgm:else name="Name16"/>
            </dgm:choose>
          </dgm:layoutNode>
        </dgm:if>
        <dgm:else name="Name17">
          <dgm:layoutNode name="arrowAndChildren">
            <dgm:alg type="composite"/>
            <dgm:shape xmlns:r="http://schemas.openxmlformats.org/officeDocument/2006/relationships" r:blip="">
              <dgm:adjLst/>
            </dgm:shape>
            <dgm:presOf/>
            <dgm:choose name="Name18">
              <dgm:if name="Name19" axis="ch" ptType="node" func="cnt" op="gte" val="1">
                <dgm:constrLst>
                  <dgm:constr type="w" for="ch" forName="parentTextArrow" refType="w"/>
                  <dgm:constr type="t" for="ch" forName="parentTextArrow"/>
                  <dgm:constr type="h" for="ch" forName="parentTextArrow" refType="h" fact="0.351"/>
                  <dgm:constr type="w" for="ch" forName="arrow" refType="w"/>
                  <dgm:constr type="h" for="ch" forName="arrow" refType="h"/>
                  <dgm:constr type="w" for="ch" forName="descendantArrow" refType="w"/>
                  <dgm:constr type="b" for="ch" forName="descendantArrow" refType="h" fact="0.65"/>
                  <dgm:constr type="h" for="ch" forName="descendantArrow" refType="h" fact="0.299"/>
                </dgm:constrLst>
              </dgm:if>
              <dgm:else name="Name20">
                <dgm:constrLst>
                  <dgm:constr type="w" for="ch" forName="parentTextArrow" refType="w"/>
                  <dgm:constr type="h" for="ch" forName="parentTextArrow" refType="h"/>
                </dgm:constrLst>
              </dgm:else>
            </dgm:choose>
            <dgm:ruleLst/>
            <dgm:layoutNode name="parentTextArrow">
              <dgm:alg type="tx"/>
              <dgm:choose name="Name21">
                <dgm:if name="Name22" axis="ch" ptType="node" func="cnt" op="gte" val="1">
                  <dgm:shape xmlns:r="http://schemas.openxmlformats.org/officeDocument/2006/relationships" type="rect" r:blip="" zOrderOff="1" hideGeom="1">
                    <dgm:adjLst/>
                  </dgm:shape>
                </dgm:if>
                <dgm:else name="Name23">
                  <dgm:shape xmlns:r="http://schemas.openxmlformats.org/officeDocument/2006/relationships" rot="180" type="upArrowCallout" r:blip="">
                    <dgm:adjLst/>
                  </dgm:shape>
                </dgm:else>
              </dgm:choose>
              <dgm:presOf axis="self"/>
              <dgm:constrLst/>
              <dgm:ruleLst>
                <dgm:rule type="primFontSz" val="5" fact="NaN" max="NaN"/>
              </dgm:ruleLst>
            </dgm:layoutNode>
            <dgm:choose name="Name24">
              <dgm:if name="Name25" axis="ch" ptType="node" func="cnt" op="gte" val="1">
                <dgm:layoutNode name="arrow">
                  <dgm:alg type="sp"/>
                  <dgm:shape xmlns:r="http://schemas.openxmlformats.org/officeDocument/2006/relationships" rot="180" type="upArrowCallout" r:blip="">
                    <dgm:adjLst/>
                  </dgm:shape>
                  <dgm:presOf axis="self"/>
                  <dgm:constrLst/>
                  <dgm:ruleLst/>
                </dgm:layoutNode>
                <dgm:layoutNode name="descendantArrow">
                  <dgm:choose name="Name26">
                    <dgm:if name="Name27" func="var" arg="dir" op="equ" val="norm">
                      <dgm:alg type="lin"/>
                    </dgm:if>
                    <dgm:else name="Name28">
                      <dgm:alg type="lin">
                        <dgm:param type="linDir" val="fromR"/>
                      </dgm:alg>
                    </dgm:else>
                  </dgm:choose>
                  <dgm:shape xmlns:r="http://schemas.openxmlformats.org/officeDocument/2006/relationships" r:blip="">
                    <dgm:adjLst/>
                  </dgm:shape>
                  <dgm:presOf/>
                  <dgm:constrLst>
                    <dgm:constr type="w" for="ch" forName="childTextArrow" refType="w"/>
                    <dgm:constr type="h" for="ch" forName="childTextArrow" refType="h"/>
                  </dgm:constrLst>
                  <dgm:ruleLst/>
                  <dgm:forEach name="Name29" axis="ch" ptType="node">
                    <dgm:layoutNode name="childTextArrow" styleLbl="fgAccFollowNode1">
                      <dgm:varLst>
                        <dgm:bulletEnabled val="1"/>
                      </dgm:varLst>
                      <dgm:alg type="tx"/>
                      <dgm:shape xmlns:r="http://schemas.openxmlformats.org/officeDocument/2006/relationships" type="rect" r:blip="">
                        <dgm:adjLst/>
                      </dgm:shape>
                      <dgm:presOf axis="desOrSelf" ptType="node"/>
                      <dgm:constrLst>
                        <dgm:constr type="tMarg" refType="primFontSz" fact="0.1"/>
                        <dgm:constr type="bMarg" refType="primFontSz" fact="0.1"/>
                      </dgm:constrLst>
                      <dgm:ruleLst>
                        <dgm:rule type="primFontSz" val="5" fact="NaN" max="NaN"/>
                      </dgm:ruleLst>
                    </dgm:layoutNode>
                  </dgm:forEach>
                </dgm:layoutNode>
              </dgm:if>
              <dgm:else name="Name30"/>
            </dgm:choose>
          </dgm:layoutNode>
        </dgm:else>
      </dgm:choose>
      <dgm:forEach name="Name31" axis="precedSib" ptType="sibTrans" st="-1" cnt="1">
        <dgm:layoutNode name="sp">
          <dgm:alg type="sp"/>
          <dgm:shape xmlns:r="http://schemas.openxmlformats.org/officeDocument/2006/relationships" r:blip="">
            <dgm:adjLst/>
          </dgm:shape>
          <dgm:presOf axis="sel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image" Target="../media/image1.png"/><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chart" Target="../charts/chart7.xml"/><Relationship Id="rId13" Type="http://schemas.openxmlformats.org/officeDocument/2006/relationships/chart" Target="../charts/chart12.xml"/><Relationship Id="rId3" Type="http://schemas.openxmlformats.org/officeDocument/2006/relationships/chart" Target="../charts/chart3.xml"/><Relationship Id="rId7" Type="http://schemas.openxmlformats.org/officeDocument/2006/relationships/chart" Target="../charts/chart6.xml"/><Relationship Id="rId12" Type="http://schemas.openxmlformats.org/officeDocument/2006/relationships/chart" Target="../charts/chart11.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11" Type="http://schemas.openxmlformats.org/officeDocument/2006/relationships/chart" Target="../charts/chart10.xml"/><Relationship Id="rId5" Type="http://schemas.openxmlformats.org/officeDocument/2006/relationships/chart" Target="../charts/chart4.xml"/><Relationship Id="rId10" Type="http://schemas.openxmlformats.org/officeDocument/2006/relationships/chart" Target="../charts/chart9.xml"/><Relationship Id="rId4" Type="http://schemas.openxmlformats.org/officeDocument/2006/relationships/image" Target="../media/image1.png"/><Relationship Id="rId9"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2</xdr:col>
      <xdr:colOff>749916</xdr:colOff>
      <xdr:row>7</xdr:row>
      <xdr:rowOff>256106</xdr:rowOff>
    </xdr:from>
    <xdr:to>
      <xdr:col>4</xdr:col>
      <xdr:colOff>738274</xdr:colOff>
      <xdr:row>8</xdr:row>
      <xdr:rowOff>104127</xdr:rowOff>
    </xdr:to>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1158130" y="1888963"/>
          <a:ext cx="1512358" cy="310664"/>
        </a:xfrm>
        <a:prstGeom prst="roundRect">
          <a:avLst/>
        </a:prstGeom>
        <a:ln/>
      </xdr:spPr>
      <xdr:style>
        <a:lnRef idx="3">
          <a:schemeClr val="lt1"/>
        </a:lnRef>
        <a:fillRef idx="1">
          <a:schemeClr val="accent3"/>
        </a:fillRef>
        <a:effectRef idx="1">
          <a:schemeClr val="accent3"/>
        </a:effectRef>
        <a:fontRef idx="minor">
          <a:schemeClr val="lt1"/>
        </a:fontRef>
      </xdr:style>
      <xdr:txBody>
        <a:bodyPr vertOverflow="clip" horzOverflow="clip" wrap="square" rtlCol="0" anchor="ctr"/>
        <a:lstStyle/>
        <a:p>
          <a:pPr algn="ctr"/>
          <a:r>
            <a:rPr lang="es-AR" sz="1600" b="1">
              <a:solidFill>
                <a:schemeClr val="bg1"/>
              </a:solidFill>
            </a:rPr>
            <a:t>¿Qué</a:t>
          </a:r>
          <a:r>
            <a:rPr lang="es-AR" sz="1600" b="1" baseline="0">
              <a:solidFill>
                <a:schemeClr val="bg1"/>
              </a:solidFill>
            </a:rPr>
            <a:t> es?</a:t>
          </a:r>
          <a:endParaRPr lang="es-AR" sz="1600" b="1">
            <a:solidFill>
              <a:schemeClr val="bg1"/>
            </a:solidFill>
          </a:endParaRPr>
        </a:p>
      </xdr:txBody>
    </xdr:sp>
    <xdr:clientData/>
  </xdr:twoCellAnchor>
  <xdr:twoCellAnchor>
    <xdr:from>
      <xdr:col>2</xdr:col>
      <xdr:colOff>749916</xdr:colOff>
      <xdr:row>9</xdr:row>
      <xdr:rowOff>23272</xdr:rowOff>
    </xdr:from>
    <xdr:to>
      <xdr:col>7</xdr:col>
      <xdr:colOff>706524</xdr:colOff>
      <xdr:row>15</xdr:row>
      <xdr:rowOff>41263</xdr:rowOff>
    </xdr:to>
    <xdr:sp macro="" textlink="">
      <xdr:nvSpPr>
        <xdr:cNvPr id="3" name="CuadroTexto 2">
          <a:extLst>
            <a:ext uri="{FF2B5EF4-FFF2-40B4-BE49-F238E27FC236}">
              <a16:creationId xmlns:a16="http://schemas.microsoft.com/office/drawing/2014/main" id="{00000000-0008-0000-0000-000003000000}"/>
            </a:ext>
          </a:extLst>
        </xdr:cNvPr>
        <xdr:cNvSpPr txBox="1"/>
      </xdr:nvSpPr>
      <xdr:spPr>
        <a:xfrm>
          <a:off x="1158130" y="2309272"/>
          <a:ext cx="3766608" cy="1160991"/>
        </a:xfrm>
        <a:prstGeom prst="roundRect">
          <a:avLst>
            <a:gd name="adj" fmla="val 6306"/>
          </a:avLst>
        </a:prstGeom>
        <a:solidFill>
          <a:schemeClr val="accent3">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AR" sz="1200"/>
            <a:t>El</a:t>
          </a:r>
          <a:r>
            <a:rPr lang="es-AR" sz="1200" baseline="0"/>
            <a:t> </a:t>
          </a:r>
          <a:r>
            <a:rPr lang="es-AR" sz="1200"/>
            <a:t>DISE</a:t>
          </a:r>
          <a:r>
            <a:rPr lang="es-AR" sz="1200" baseline="0"/>
            <a:t> </a:t>
          </a:r>
          <a:r>
            <a:rPr lang="es-AR" sz="1200"/>
            <a:t>es una herramienta de diagnóstico de la empresa</a:t>
          </a:r>
          <a:r>
            <a:rPr lang="es-AR" sz="1200" baseline="0"/>
            <a:t> que calcula una serie de indicadores empresariales que permiten conocer el estado de situación de la misma. </a:t>
          </a:r>
        </a:p>
        <a:p>
          <a:r>
            <a:rPr lang="es-AR" sz="1200" baseline="0"/>
            <a:t>Además, se podrán obtener una serie de recomendaciones para tener en cuenta en la empresa según su diagnostico.</a:t>
          </a:r>
          <a:endParaRPr lang="es-AR" sz="1200"/>
        </a:p>
      </xdr:txBody>
    </xdr:sp>
    <xdr:clientData/>
  </xdr:twoCellAnchor>
  <xdr:twoCellAnchor>
    <xdr:from>
      <xdr:col>8</xdr:col>
      <xdr:colOff>321291</xdr:colOff>
      <xdr:row>7</xdr:row>
      <xdr:rowOff>256106</xdr:rowOff>
    </xdr:from>
    <xdr:to>
      <xdr:col>10</xdr:col>
      <xdr:colOff>699116</xdr:colOff>
      <xdr:row>8</xdr:row>
      <xdr:rowOff>95238</xdr:rowOff>
    </xdr:to>
    <xdr:sp macro="" textlink="">
      <xdr:nvSpPr>
        <xdr:cNvPr id="5" name="CuadroTexto 4">
          <a:extLst>
            <a:ext uri="{FF2B5EF4-FFF2-40B4-BE49-F238E27FC236}">
              <a16:creationId xmlns:a16="http://schemas.microsoft.com/office/drawing/2014/main" id="{00000000-0008-0000-0000-000005000000}"/>
            </a:ext>
          </a:extLst>
        </xdr:cNvPr>
        <xdr:cNvSpPr txBox="1"/>
      </xdr:nvSpPr>
      <xdr:spPr>
        <a:xfrm>
          <a:off x="5301505" y="1888963"/>
          <a:ext cx="1901825" cy="301775"/>
        </a:xfrm>
        <a:prstGeom prst="roundRect">
          <a:avLst/>
        </a:prstGeom>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rtlCol="0" anchor="ctr"/>
        <a:lstStyle/>
        <a:p>
          <a:pPr algn="ctr"/>
          <a:r>
            <a:rPr lang="es-AR" sz="1600" b="1">
              <a:solidFill>
                <a:schemeClr val="bg1"/>
              </a:solidFill>
            </a:rPr>
            <a:t>¿Cómo funciona?</a:t>
          </a:r>
        </a:p>
      </xdr:txBody>
    </xdr:sp>
    <xdr:clientData/>
  </xdr:twoCellAnchor>
  <xdr:twoCellAnchor>
    <xdr:from>
      <xdr:col>8</xdr:col>
      <xdr:colOff>321291</xdr:colOff>
      <xdr:row>9</xdr:row>
      <xdr:rowOff>23272</xdr:rowOff>
    </xdr:from>
    <xdr:to>
      <xdr:col>13</xdr:col>
      <xdr:colOff>641966</xdr:colOff>
      <xdr:row>15</xdr:row>
      <xdr:rowOff>31738</xdr:rowOff>
    </xdr:to>
    <xdr:sp macro="" textlink="">
      <xdr:nvSpPr>
        <xdr:cNvPr id="7" name="CuadroTexto 6">
          <a:extLst>
            <a:ext uri="{FF2B5EF4-FFF2-40B4-BE49-F238E27FC236}">
              <a16:creationId xmlns:a16="http://schemas.microsoft.com/office/drawing/2014/main" id="{00000000-0008-0000-0000-000007000000}"/>
            </a:ext>
          </a:extLst>
        </xdr:cNvPr>
        <xdr:cNvSpPr txBox="1"/>
      </xdr:nvSpPr>
      <xdr:spPr>
        <a:xfrm>
          <a:off x="5301505" y="2309272"/>
          <a:ext cx="4130675" cy="1151466"/>
        </a:xfrm>
        <a:prstGeom prst="roundRect">
          <a:avLst>
            <a:gd name="adj" fmla="val 5473"/>
          </a:avLst>
        </a:prstGeom>
        <a:solidFill>
          <a:schemeClr val="accent3">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AR" sz="1200"/>
            <a:t>Se deberán cargar una series de datos económicos</a:t>
          </a:r>
          <a:r>
            <a:rPr lang="es-AR" sz="1200" baseline="0"/>
            <a:t> y patrimoniales dentro de la hoja "Carga de Datos".</a:t>
          </a:r>
        </a:p>
        <a:p>
          <a:r>
            <a:rPr lang="es-AR" sz="1200" baseline="0"/>
            <a:t>A partir de esos datos, se calculan automaticamente una serie de indicadores en la hoja "Indicadores Empresariales", y un tablero de control en la hoja "Tablero".</a:t>
          </a:r>
          <a:endParaRPr lang="es-AR" sz="1200"/>
        </a:p>
      </xdr:txBody>
    </xdr:sp>
    <xdr:clientData/>
  </xdr:twoCellAnchor>
  <xdr:twoCellAnchor>
    <xdr:from>
      <xdr:col>7</xdr:col>
      <xdr:colOff>220481</xdr:colOff>
      <xdr:row>19</xdr:row>
      <xdr:rowOff>32791</xdr:rowOff>
    </xdr:from>
    <xdr:to>
      <xdr:col>9</xdr:col>
      <xdr:colOff>65700</xdr:colOff>
      <xdr:row>28</xdr:row>
      <xdr:rowOff>32791</xdr:rowOff>
    </xdr:to>
    <xdr:sp macro="" textlink="">
      <xdr:nvSpPr>
        <xdr:cNvPr id="9" name="Flecha: hacia abajo 8">
          <a:extLst>
            <a:ext uri="{FF2B5EF4-FFF2-40B4-BE49-F238E27FC236}">
              <a16:creationId xmlns:a16="http://schemas.microsoft.com/office/drawing/2014/main" id="{00000000-0008-0000-0000-000009000000}"/>
            </a:ext>
          </a:extLst>
        </xdr:cNvPr>
        <xdr:cNvSpPr/>
      </xdr:nvSpPr>
      <xdr:spPr>
        <a:xfrm>
          <a:off x="4443231" y="4192041"/>
          <a:ext cx="1369219" cy="1714500"/>
        </a:xfrm>
        <a:prstGeom prst="downArrow">
          <a:avLst/>
        </a:prstGeom>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s-AR" sz="1100"/>
        </a:p>
      </xdr:txBody>
    </xdr:sp>
    <xdr:clientData/>
  </xdr:twoCellAnchor>
  <xdr:twoCellAnchor>
    <xdr:from>
      <xdr:col>6</xdr:col>
      <xdr:colOff>705201</xdr:colOff>
      <xdr:row>16</xdr:row>
      <xdr:rowOff>42332</xdr:rowOff>
    </xdr:from>
    <xdr:to>
      <xdr:col>9</xdr:col>
      <xdr:colOff>190500</xdr:colOff>
      <xdr:row>18</xdr:row>
      <xdr:rowOff>107143</xdr:rowOff>
    </xdr:to>
    <xdr:sp macro="" textlink="">
      <xdr:nvSpPr>
        <xdr:cNvPr id="10" name="CuadroTexto 9">
          <a:extLst>
            <a:ext uri="{FF2B5EF4-FFF2-40B4-BE49-F238E27FC236}">
              <a16:creationId xmlns:a16="http://schemas.microsoft.com/office/drawing/2014/main" id="{00000000-0008-0000-0000-00000A000000}"/>
            </a:ext>
          </a:extLst>
        </xdr:cNvPr>
        <xdr:cNvSpPr txBox="1"/>
      </xdr:nvSpPr>
      <xdr:spPr>
        <a:xfrm>
          <a:off x="4165951" y="3630082"/>
          <a:ext cx="1771299" cy="445811"/>
        </a:xfrm>
        <a:prstGeom prst="roundRect">
          <a:avLst>
            <a:gd name="adj" fmla="val 7895"/>
          </a:avLst>
        </a:prstGeom>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rtlCol="0" anchor="ctr"/>
        <a:lstStyle/>
        <a:p>
          <a:pPr algn="ctr"/>
          <a:r>
            <a:rPr lang="es-AR" sz="1600" b="1">
              <a:solidFill>
                <a:schemeClr val="bg1"/>
              </a:solidFill>
            </a:rPr>
            <a:t>Asistente</a:t>
          </a:r>
          <a:r>
            <a:rPr lang="es-AR" sz="1600" b="1" baseline="0">
              <a:solidFill>
                <a:schemeClr val="bg1"/>
              </a:solidFill>
            </a:rPr>
            <a:t> de carga</a:t>
          </a:r>
          <a:endParaRPr lang="es-AR" sz="1600" b="1">
            <a:solidFill>
              <a:schemeClr val="bg1"/>
            </a:solidFill>
          </a:endParaRPr>
        </a:p>
      </xdr:txBody>
    </xdr:sp>
    <xdr:clientData/>
  </xdr:twoCellAnchor>
  <xdr:twoCellAnchor>
    <xdr:from>
      <xdr:col>4</xdr:col>
      <xdr:colOff>356747</xdr:colOff>
      <xdr:row>28</xdr:row>
      <xdr:rowOff>144845</xdr:rowOff>
    </xdr:from>
    <xdr:to>
      <xdr:col>11</xdr:col>
      <xdr:colOff>703615</xdr:colOff>
      <xdr:row>48</xdr:row>
      <xdr:rowOff>46026</xdr:rowOff>
    </xdr:to>
    <xdr:graphicFrame macro="">
      <xdr:nvGraphicFramePr>
        <xdr:cNvPr id="11" name="Diagrama 10">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2</xdr:col>
      <xdr:colOff>103727</xdr:colOff>
      <xdr:row>50</xdr:row>
      <xdr:rowOff>137592</xdr:rowOff>
    </xdr:from>
    <xdr:to>
      <xdr:col>14</xdr:col>
      <xdr:colOff>0</xdr:colOff>
      <xdr:row>53</xdr:row>
      <xdr:rowOff>31759</xdr:rowOff>
    </xdr:to>
    <xdr:sp macro="" textlink="">
      <xdr:nvSpPr>
        <xdr:cNvPr id="13" name="CuadroTexto 12">
          <a:extLst>
            <a:ext uri="{FF2B5EF4-FFF2-40B4-BE49-F238E27FC236}">
              <a16:creationId xmlns:a16="http://schemas.microsoft.com/office/drawing/2014/main" id="{00000000-0008-0000-0000-00000D000000}"/>
            </a:ext>
          </a:extLst>
        </xdr:cNvPr>
        <xdr:cNvSpPr txBox="1"/>
      </xdr:nvSpPr>
      <xdr:spPr>
        <a:xfrm>
          <a:off x="516477" y="10202342"/>
          <a:ext cx="10219268" cy="465667"/>
        </a:xfrm>
        <a:prstGeom prst="roundRect">
          <a:avLst>
            <a:gd name="adj" fmla="val 3062"/>
          </a:avLst>
        </a:prstGeom>
        <a:solidFill>
          <a:schemeClr val="accent3">
            <a:lumMod val="40000"/>
            <a:lumOff val="60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rtlCol="0" anchor="ctr"/>
        <a:lstStyle/>
        <a:p>
          <a:pPr algn="ctr"/>
          <a:r>
            <a:rPr lang="es-AR" sz="1400" b="0">
              <a:solidFill>
                <a:sysClr val="windowText" lastClr="000000"/>
              </a:solidFill>
            </a:rPr>
            <a:t>Ante cualquier consulta comunicarse con el Área</a:t>
          </a:r>
          <a:r>
            <a:rPr lang="es-AR" sz="1400" b="0" baseline="0">
              <a:solidFill>
                <a:sysClr val="windowText" lastClr="000000"/>
              </a:solidFill>
            </a:rPr>
            <a:t> de Empresa:</a:t>
          </a:r>
          <a:r>
            <a:rPr lang="es-AR" sz="1400" b="1" baseline="0">
              <a:solidFill>
                <a:sysClr val="windowText" lastClr="000000"/>
              </a:solidFill>
            </a:rPr>
            <a:t> empresa@crea.org.ar</a:t>
          </a:r>
          <a:endParaRPr lang="es-AR" sz="1400"/>
        </a:p>
      </xdr:txBody>
    </xdr:sp>
    <xdr:clientData/>
  </xdr:twoCellAnchor>
  <xdr:twoCellAnchor editAs="oneCell">
    <xdr:from>
      <xdr:col>4</xdr:col>
      <xdr:colOff>6347</xdr:colOff>
      <xdr:row>1</xdr:row>
      <xdr:rowOff>93134</xdr:rowOff>
    </xdr:from>
    <xdr:to>
      <xdr:col>4</xdr:col>
      <xdr:colOff>618347</xdr:colOff>
      <xdr:row>3</xdr:row>
      <xdr:rowOff>88151</xdr:rowOff>
    </xdr:to>
    <xdr:pic>
      <xdr:nvPicPr>
        <xdr:cNvPr id="15" name="Picture 2" descr="C:\Users\dalmazan\Desktop\LOGO CREA con filete.png">
          <a:extLst>
            <a:ext uri="{FF2B5EF4-FFF2-40B4-BE49-F238E27FC236}">
              <a16:creationId xmlns:a16="http://schemas.microsoft.com/office/drawing/2014/main" id="{00000000-0008-0000-0000-00000F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368547" y="279401"/>
          <a:ext cx="612000" cy="45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13</xdr:col>
      <xdr:colOff>1845470</xdr:colOff>
      <xdr:row>1</xdr:row>
      <xdr:rowOff>59530</xdr:rowOff>
    </xdr:from>
    <xdr:ext cx="1752600" cy="485261"/>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13656470" y="250030"/>
          <a:ext cx="1752600" cy="4852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spAutoFit/>
        </a:bodyPr>
        <a:lstStyle/>
        <a:p>
          <a:pPr algn="ctr"/>
          <a:r>
            <a:rPr lang="es-AR" sz="1100" b="1"/>
            <a:t>Área</a:t>
          </a:r>
          <a:r>
            <a:rPr lang="es-AR" sz="1100" b="1" baseline="0"/>
            <a:t> Empresa (I+D)</a:t>
          </a:r>
        </a:p>
        <a:p>
          <a:pPr algn="ctr"/>
          <a:r>
            <a:rPr lang="es-AR" sz="1000" baseline="0"/>
            <a:t>Mesa Técnica Empresarial</a:t>
          </a:r>
        </a:p>
        <a:p>
          <a:pPr algn="ctr"/>
          <a:r>
            <a:rPr lang="es-AR" sz="1000" baseline="0"/>
            <a:t>Comisión Empresarial</a:t>
          </a:r>
          <a:endParaRPr lang="es-AR" sz="1000"/>
        </a:p>
      </xdr:txBody>
    </xdr:sp>
    <xdr:clientData/>
  </xdr:oneCellAnchor>
  <xdr:twoCellAnchor editAs="oneCell">
    <xdr:from>
      <xdr:col>4</xdr:col>
      <xdr:colOff>369791</xdr:colOff>
      <xdr:row>1</xdr:row>
      <xdr:rowOff>112058</xdr:rowOff>
    </xdr:from>
    <xdr:to>
      <xdr:col>4</xdr:col>
      <xdr:colOff>981791</xdr:colOff>
      <xdr:row>3</xdr:row>
      <xdr:rowOff>102717</xdr:rowOff>
    </xdr:to>
    <xdr:pic>
      <xdr:nvPicPr>
        <xdr:cNvPr id="4" name="Picture 2" descr="C:\Users\dalmazan\Desktop\LOGO CREA con filete.png">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21085" y="302558"/>
          <a:ext cx="612000" cy="45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563951</xdr:colOff>
      <xdr:row>29</xdr:row>
      <xdr:rowOff>21789</xdr:rowOff>
    </xdr:from>
    <xdr:to>
      <xdr:col>4</xdr:col>
      <xdr:colOff>877716</xdr:colOff>
      <xdr:row>33</xdr:row>
      <xdr:rowOff>153613</xdr:rowOff>
    </xdr:to>
    <xdr:sp macro="" textlink="">
      <xdr:nvSpPr>
        <xdr:cNvPr id="3" name="Chevron 2">
          <a:extLst>
            <a:ext uri="{FF2B5EF4-FFF2-40B4-BE49-F238E27FC236}">
              <a16:creationId xmlns:a16="http://schemas.microsoft.com/office/drawing/2014/main" id="{00000000-0008-0000-0100-000003000000}"/>
            </a:ext>
          </a:extLst>
        </xdr:cNvPr>
        <xdr:cNvSpPr/>
      </xdr:nvSpPr>
      <xdr:spPr>
        <a:xfrm>
          <a:off x="5474618" y="8096872"/>
          <a:ext cx="313765" cy="914991"/>
        </a:xfrm>
        <a:prstGeom prst="chevron">
          <a:avLst/>
        </a:prstGeom>
        <a:noFill/>
        <a:ln w="190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AR" sz="1100">
            <a:solidFill>
              <a:schemeClr val="tx1"/>
            </a:solidFill>
          </a:endParaRPr>
        </a:p>
      </xdr:txBody>
    </xdr:sp>
    <xdr:clientData/>
  </xdr:twoCellAnchor>
  <xdr:twoCellAnchor>
    <xdr:from>
      <xdr:col>6</xdr:col>
      <xdr:colOff>63500</xdr:colOff>
      <xdr:row>29</xdr:row>
      <xdr:rowOff>74083</xdr:rowOff>
    </xdr:from>
    <xdr:to>
      <xdr:col>7</xdr:col>
      <xdr:colOff>825500</xdr:colOff>
      <xdr:row>32</xdr:row>
      <xdr:rowOff>95250</xdr:rowOff>
    </xdr:to>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6540500" y="6604000"/>
          <a:ext cx="2169583" cy="603250"/>
        </a:xfrm>
        <a:prstGeom prst="rect">
          <a:avLst/>
        </a:prstGeom>
        <a:solidFill>
          <a:schemeClr val="lt1"/>
        </a:solidFill>
        <a:ln w="38100" cmpd="sng">
          <a:solidFill>
            <a:schemeClr val="bg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AR" sz="1200" b="1"/>
            <a:t>DISTRIBUCIÓN DE INGRESOS Y EGRESOS (%)</a:t>
          </a:r>
        </a:p>
      </xdr:txBody>
    </xdr:sp>
    <xdr:clientData/>
  </xdr:twoCellAnchor>
  <mc:AlternateContent xmlns:mc="http://schemas.openxmlformats.org/markup-compatibility/2006">
    <mc:Choice xmlns:a14="http://schemas.microsoft.com/office/drawing/2010/main" Requires="a14">
      <xdr:twoCellAnchor editAs="oneCell">
        <xdr:from>
          <xdr:col>5</xdr:col>
          <xdr:colOff>361950</xdr:colOff>
          <xdr:row>14</xdr:row>
          <xdr:rowOff>9525</xdr:rowOff>
        </xdr:from>
        <xdr:to>
          <xdr:col>6</xdr:col>
          <xdr:colOff>685800</xdr:colOff>
          <xdr:row>15</xdr:row>
          <xdr:rowOff>0</xdr:rowOff>
        </xdr:to>
        <xdr:sp macro="" textlink="">
          <xdr:nvSpPr>
            <xdr:cNvPr id="2052" name="Scroll Bar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17</xdr:row>
          <xdr:rowOff>0</xdr:rowOff>
        </xdr:from>
        <xdr:to>
          <xdr:col>6</xdr:col>
          <xdr:colOff>695325</xdr:colOff>
          <xdr:row>17</xdr:row>
          <xdr:rowOff>238125</xdr:rowOff>
        </xdr:to>
        <xdr:sp macro="" textlink="">
          <xdr:nvSpPr>
            <xdr:cNvPr id="2054" name="Scroll Bar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361950</xdr:colOff>
          <xdr:row>18</xdr:row>
          <xdr:rowOff>238125</xdr:rowOff>
        </xdr:from>
        <xdr:to>
          <xdr:col>6</xdr:col>
          <xdr:colOff>685800</xdr:colOff>
          <xdr:row>19</xdr:row>
          <xdr:rowOff>238125</xdr:rowOff>
        </xdr:to>
        <xdr:sp macro="" textlink="">
          <xdr:nvSpPr>
            <xdr:cNvPr id="2056" name="Scroll Bar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361950</xdr:colOff>
          <xdr:row>15</xdr:row>
          <xdr:rowOff>9525</xdr:rowOff>
        </xdr:from>
        <xdr:to>
          <xdr:col>6</xdr:col>
          <xdr:colOff>685800</xdr:colOff>
          <xdr:row>16</xdr:row>
          <xdr:rowOff>0</xdr:rowOff>
        </xdr:to>
        <xdr:sp macro="" textlink="">
          <xdr:nvSpPr>
            <xdr:cNvPr id="2064" name="Scroll Bar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xdr:row>
          <xdr:rowOff>9525</xdr:rowOff>
        </xdr:from>
        <xdr:to>
          <xdr:col>6</xdr:col>
          <xdr:colOff>666750</xdr:colOff>
          <xdr:row>21</xdr:row>
          <xdr:rowOff>0</xdr:rowOff>
        </xdr:to>
        <xdr:sp macro="" textlink="">
          <xdr:nvSpPr>
            <xdr:cNvPr id="2075" name="Scroll Bar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361950</xdr:colOff>
          <xdr:row>17</xdr:row>
          <xdr:rowOff>247650</xdr:rowOff>
        </xdr:from>
        <xdr:to>
          <xdr:col>6</xdr:col>
          <xdr:colOff>685800</xdr:colOff>
          <xdr:row>18</xdr:row>
          <xdr:rowOff>238125</xdr:rowOff>
        </xdr:to>
        <xdr:sp macro="" textlink="">
          <xdr:nvSpPr>
            <xdr:cNvPr id="2076" name="Scroll Bar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12</xdr:col>
      <xdr:colOff>571500</xdr:colOff>
      <xdr:row>1</xdr:row>
      <xdr:rowOff>83344</xdr:rowOff>
    </xdr:from>
    <xdr:ext cx="1752600" cy="485261"/>
    <xdr:sp macro="" textlink="">
      <xdr:nvSpPr>
        <xdr:cNvPr id="2" name="CuadroTexto 1">
          <a:extLst>
            <a:ext uri="{FF2B5EF4-FFF2-40B4-BE49-F238E27FC236}">
              <a16:creationId xmlns:a16="http://schemas.microsoft.com/office/drawing/2014/main" id="{00000000-0008-0000-0200-000002000000}"/>
            </a:ext>
          </a:extLst>
        </xdr:cNvPr>
        <xdr:cNvSpPr txBox="1"/>
      </xdr:nvSpPr>
      <xdr:spPr>
        <a:xfrm>
          <a:off x="13477875" y="273844"/>
          <a:ext cx="1752600" cy="4852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spAutoFit/>
        </a:bodyPr>
        <a:lstStyle/>
        <a:p>
          <a:pPr algn="ctr"/>
          <a:r>
            <a:rPr lang="es-AR" sz="1100" b="1"/>
            <a:t>Área</a:t>
          </a:r>
          <a:r>
            <a:rPr lang="es-AR" sz="1100" b="1" baseline="0"/>
            <a:t> Empresa (I+D)</a:t>
          </a:r>
        </a:p>
        <a:p>
          <a:pPr algn="ctr"/>
          <a:r>
            <a:rPr lang="es-AR" sz="1000" baseline="0"/>
            <a:t>Mesa Técnica Empresarial</a:t>
          </a:r>
        </a:p>
        <a:p>
          <a:pPr algn="ctr"/>
          <a:r>
            <a:rPr lang="es-AR" sz="1000" baseline="0"/>
            <a:t>Comisión Empresarial</a:t>
          </a:r>
          <a:endParaRPr lang="es-AR" sz="1000"/>
        </a:p>
      </xdr:txBody>
    </xdr:sp>
    <xdr:clientData/>
  </xdr:oneCellAnchor>
  <xdr:twoCellAnchor editAs="oneCell">
    <xdr:from>
      <xdr:col>2</xdr:col>
      <xdr:colOff>481852</xdr:colOff>
      <xdr:row>1</xdr:row>
      <xdr:rowOff>100851</xdr:rowOff>
    </xdr:from>
    <xdr:to>
      <xdr:col>2</xdr:col>
      <xdr:colOff>1093852</xdr:colOff>
      <xdr:row>3</xdr:row>
      <xdr:rowOff>91510</xdr:rowOff>
    </xdr:to>
    <xdr:pic>
      <xdr:nvPicPr>
        <xdr:cNvPr id="4" name="Picture 2" descr="C:\Users\dalmazan\Desktop\LOGO CREA con filete.png">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36558" y="291351"/>
          <a:ext cx="612000" cy="45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714374</xdr:colOff>
      <xdr:row>11</xdr:row>
      <xdr:rowOff>95250</xdr:rowOff>
    </xdr:from>
    <xdr:to>
      <xdr:col>17</xdr:col>
      <xdr:colOff>690561</xdr:colOff>
      <xdr:row>17</xdr:row>
      <xdr:rowOff>178592</xdr:rowOff>
    </xdr:to>
    <xdr:graphicFrame macro="">
      <xdr:nvGraphicFramePr>
        <xdr:cNvPr id="39" name="Chart 38">
          <a:extLst>
            <a:ext uri="{FF2B5EF4-FFF2-40B4-BE49-F238E27FC236}">
              <a16:creationId xmlns:a16="http://schemas.microsoft.com/office/drawing/2014/main" id="{00000000-0008-0000-03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369093</xdr:colOff>
      <xdr:row>29</xdr:row>
      <xdr:rowOff>190496</xdr:rowOff>
    </xdr:from>
    <xdr:to>
      <xdr:col>7</xdr:col>
      <xdr:colOff>1340027</xdr:colOff>
      <xdr:row>45</xdr:row>
      <xdr:rowOff>178590</xdr:rowOff>
    </xdr:to>
    <xdr:graphicFrame macro="">
      <xdr:nvGraphicFramePr>
        <xdr:cNvPr id="2" name="Gráfico 9">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editAs="oneCell">
        <xdr:from>
          <xdr:col>4</xdr:col>
          <xdr:colOff>0</xdr:colOff>
          <xdr:row>29</xdr:row>
          <xdr:rowOff>161925</xdr:rowOff>
        </xdr:from>
        <xdr:to>
          <xdr:col>4</xdr:col>
          <xdr:colOff>1019175</xdr:colOff>
          <xdr:row>31</xdr:row>
          <xdr:rowOff>9525</xdr:rowOff>
        </xdr:to>
        <xdr:sp macro="" textlink="">
          <xdr:nvSpPr>
            <xdr:cNvPr id="6145" name="Scroll Bar 1" hidden="1">
              <a:extLst>
                <a:ext uri="{63B3BB69-23CF-44E3-9099-C40C66FF867C}">
                  <a14:compatExt spid="_x0000_s6145"/>
                </a:ext>
                <a:ext uri="{FF2B5EF4-FFF2-40B4-BE49-F238E27FC236}">
                  <a16:creationId xmlns:a16="http://schemas.microsoft.com/office/drawing/2014/main" id="{00000000-0008-0000-0300-000001180000}"/>
                </a:ext>
              </a:extLst>
            </xdr:cNvPr>
            <xdr:cNvSpPr/>
          </xdr:nvSpPr>
          <xdr:spPr bwMode="auto">
            <a:xfrm>
              <a:off x="0" y="0"/>
              <a:ext cx="0" cy="0"/>
            </a:xfrm>
            <a:prstGeom prst="rect">
              <a:avLst/>
            </a:prstGeom>
            <a:noFill/>
            <a:ln w="9525">
              <a:miter lim="800000"/>
              <a:headEnd/>
              <a:tailEnd/>
            </a:ln>
          </xdr:spPr>
        </xdr:sp>
        <xdr:clientData fLocksWithSheet="0"/>
      </xdr:twoCellAnchor>
    </mc:Choice>
    <mc:Fallback/>
  </mc:AlternateContent>
  <xdr:oneCellAnchor>
    <xdr:from>
      <xdr:col>13</xdr:col>
      <xdr:colOff>705971</xdr:colOff>
      <xdr:row>1</xdr:row>
      <xdr:rowOff>22412</xdr:rowOff>
    </xdr:from>
    <xdr:ext cx="1752600" cy="485261"/>
    <xdr:sp macro="" textlink="">
      <xdr:nvSpPr>
        <xdr:cNvPr id="7" name="CuadroTexto 6">
          <a:extLst>
            <a:ext uri="{FF2B5EF4-FFF2-40B4-BE49-F238E27FC236}">
              <a16:creationId xmlns:a16="http://schemas.microsoft.com/office/drawing/2014/main" id="{00000000-0008-0000-0300-000007000000}"/>
            </a:ext>
          </a:extLst>
        </xdr:cNvPr>
        <xdr:cNvSpPr txBox="1"/>
      </xdr:nvSpPr>
      <xdr:spPr>
        <a:xfrm>
          <a:off x="12460942" y="212912"/>
          <a:ext cx="1752600" cy="4852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spAutoFit/>
        </a:bodyPr>
        <a:lstStyle/>
        <a:p>
          <a:pPr algn="ctr"/>
          <a:r>
            <a:rPr lang="es-AR" sz="1100" b="1"/>
            <a:t>Área</a:t>
          </a:r>
          <a:r>
            <a:rPr lang="es-AR" sz="1100" b="1" baseline="0"/>
            <a:t> Empresa (I+D)</a:t>
          </a:r>
        </a:p>
        <a:p>
          <a:pPr algn="ctr"/>
          <a:r>
            <a:rPr lang="es-AR" sz="1000" baseline="0"/>
            <a:t>Mesa Técnica Empresarial</a:t>
          </a:r>
        </a:p>
        <a:p>
          <a:pPr algn="ctr"/>
          <a:r>
            <a:rPr lang="es-AR" sz="1000" baseline="0"/>
            <a:t>Comisión Empresarial</a:t>
          </a:r>
          <a:endParaRPr lang="es-AR" sz="1000"/>
        </a:p>
      </xdr:txBody>
    </xdr:sp>
    <xdr:clientData/>
  </xdr:oneCellAnchor>
  <xdr:twoCellAnchor>
    <xdr:from>
      <xdr:col>1</xdr:col>
      <xdr:colOff>464343</xdr:colOff>
      <xdr:row>16</xdr:row>
      <xdr:rowOff>140493</xdr:rowOff>
    </xdr:from>
    <xdr:to>
      <xdr:col>4</xdr:col>
      <xdr:colOff>692951</xdr:colOff>
      <xdr:row>25</xdr:row>
      <xdr:rowOff>23813</xdr:rowOff>
    </xdr:to>
    <xdr:graphicFrame macro="">
      <xdr:nvGraphicFramePr>
        <xdr:cNvPr id="8" name="Chart 7">
          <a:extLst>
            <a:ext uri="{FF2B5EF4-FFF2-40B4-BE49-F238E27FC236}">
              <a16:creationId xmlns:a16="http://schemas.microsoft.com/office/drawing/2014/main" id="{00000000-0008-0000-03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453370</xdr:colOff>
      <xdr:row>21</xdr:row>
      <xdr:rowOff>163880</xdr:rowOff>
    </xdr:from>
    <xdr:to>
      <xdr:col>2</xdr:col>
      <xdr:colOff>670467</xdr:colOff>
      <xdr:row>23</xdr:row>
      <xdr:rowOff>29032</xdr:rowOff>
    </xdr:to>
    <xdr:sp macro="" textlink="">
      <xdr:nvSpPr>
        <xdr:cNvPr id="6" name="TextBox 5">
          <a:extLst>
            <a:ext uri="{FF2B5EF4-FFF2-40B4-BE49-F238E27FC236}">
              <a16:creationId xmlns:a16="http://schemas.microsoft.com/office/drawing/2014/main" id="{00000000-0008-0000-0300-000006000000}"/>
            </a:ext>
          </a:extLst>
        </xdr:cNvPr>
        <xdr:cNvSpPr txBox="1"/>
      </xdr:nvSpPr>
      <xdr:spPr>
        <a:xfrm>
          <a:off x="548620" y="4473943"/>
          <a:ext cx="1836347" cy="24615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AR" sz="1100" b="0"/>
            <a:t>Rentabilidad del Activo</a:t>
          </a:r>
        </a:p>
      </xdr:txBody>
    </xdr:sp>
    <xdr:clientData/>
  </xdr:twoCellAnchor>
  <xdr:twoCellAnchor>
    <xdr:from>
      <xdr:col>1</xdr:col>
      <xdr:colOff>444168</xdr:colOff>
      <xdr:row>23</xdr:row>
      <xdr:rowOff>63281</xdr:rowOff>
    </xdr:from>
    <xdr:to>
      <xdr:col>2</xdr:col>
      <xdr:colOff>661265</xdr:colOff>
      <xdr:row>24</xdr:row>
      <xdr:rowOff>118933</xdr:rowOff>
    </xdr:to>
    <xdr:sp macro="" textlink="">
      <xdr:nvSpPr>
        <xdr:cNvPr id="11" name="TextBox 10">
          <a:extLst>
            <a:ext uri="{FF2B5EF4-FFF2-40B4-BE49-F238E27FC236}">
              <a16:creationId xmlns:a16="http://schemas.microsoft.com/office/drawing/2014/main" id="{00000000-0008-0000-0300-00000B000000}"/>
            </a:ext>
          </a:extLst>
        </xdr:cNvPr>
        <xdr:cNvSpPr txBox="1"/>
      </xdr:nvSpPr>
      <xdr:spPr>
        <a:xfrm>
          <a:off x="539418" y="4754344"/>
          <a:ext cx="1836347" cy="24615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AR" sz="1100" b="0"/>
            <a:t>Rentabilidad del PN</a:t>
          </a:r>
        </a:p>
        <a:p>
          <a:endParaRPr lang="es-AR" sz="1100" b="1"/>
        </a:p>
      </xdr:txBody>
    </xdr:sp>
    <xdr:clientData/>
  </xdr:twoCellAnchor>
  <xdr:twoCellAnchor>
    <xdr:from>
      <xdr:col>1</xdr:col>
      <xdr:colOff>269310</xdr:colOff>
      <xdr:row>21</xdr:row>
      <xdr:rowOff>131774</xdr:rowOff>
    </xdr:from>
    <xdr:to>
      <xdr:col>1</xdr:col>
      <xdr:colOff>395851</xdr:colOff>
      <xdr:row>22</xdr:row>
      <xdr:rowOff>176723</xdr:rowOff>
    </xdr:to>
    <xdr:sp macro="" textlink="">
      <xdr:nvSpPr>
        <xdr:cNvPr id="12" name="Up Arrow 11">
          <a:extLst>
            <a:ext uri="{FF2B5EF4-FFF2-40B4-BE49-F238E27FC236}">
              <a16:creationId xmlns:a16="http://schemas.microsoft.com/office/drawing/2014/main" id="{00000000-0008-0000-0300-00000C000000}"/>
            </a:ext>
          </a:extLst>
        </xdr:cNvPr>
        <xdr:cNvSpPr/>
      </xdr:nvSpPr>
      <xdr:spPr>
        <a:xfrm>
          <a:off x="364560" y="4441837"/>
          <a:ext cx="126541" cy="235449"/>
        </a:xfrm>
        <a:prstGeom prst="upArrow">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AR" sz="1100"/>
        </a:p>
      </xdr:txBody>
    </xdr:sp>
    <xdr:clientData/>
  </xdr:twoCellAnchor>
  <xdr:twoCellAnchor>
    <xdr:from>
      <xdr:col>1</xdr:col>
      <xdr:colOff>271610</xdr:colOff>
      <xdr:row>23</xdr:row>
      <xdr:rowOff>20471</xdr:rowOff>
    </xdr:from>
    <xdr:to>
      <xdr:col>1</xdr:col>
      <xdr:colOff>398151</xdr:colOff>
      <xdr:row>24</xdr:row>
      <xdr:rowOff>65420</xdr:rowOff>
    </xdr:to>
    <xdr:sp macro="" textlink="">
      <xdr:nvSpPr>
        <xdr:cNvPr id="14" name="Up Arrow 13">
          <a:extLst>
            <a:ext uri="{FF2B5EF4-FFF2-40B4-BE49-F238E27FC236}">
              <a16:creationId xmlns:a16="http://schemas.microsoft.com/office/drawing/2014/main" id="{00000000-0008-0000-0300-00000E000000}"/>
            </a:ext>
          </a:extLst>
        </xdr:cNvPr>
        <xdr:cNvSpPr/>
      </xdr:nvSpPr>
      <xdr:spPr>
        <a:xfrm>
          <a:off x="366860" y="4711534"/>
          <a:ext cx="126541" cy="235449"/>
        </a:xfrm>
        <a:prstGeom prst="upArrow">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AR" sz="1100"/>
        </a:p>
      </xdr:txBody>
    </xdr:sp>
    <xdr:clientData/>
  </xdr:twoCellAnchor>
  <xdr:twoCellAnchor editAs="oneCell">
    <xdr:from>
      <xdr:col>6</xdr:col>
      <xdr:colOff>1753020</xdr:colOff>
      <xdr:row>1</xdr:row>
      <xdr:rowOff>89647</xdr:rowOff>
    </xdr:from>
    <xdr:to>
      <xdr:col>6</xdr:col>
      <xdr:colOff>2365020</xdr:colOff>
      <xdr:row>3</xdr:row>
      <xdr:rowOff>80306</xdr:rowOff>
    </xdr:to>
    <xdr:pic>
      <xdr:nvPicPr>
        <xdr:cNvPr id="9" name="Picture 2" descr="C:\Users\dalmazan\Desktop\LOGO CREA con filete.png">
          <a:extLst>
            <a:ext uri="{FF2B5EF4-FFF2-40B4-BE49-F238E27FC236}">
              <a16:creationId xmlns:a16="http://schemas.microsoft.com/office/drawing/2014/main" id="{00000000-0008-0000-0300-000009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063083" y="280147"/>
          <a:ext cx="612000" cy="4430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362274</xdr:colOff>
      <xdr:row>7</xdr:row>
      <xdr:rowOff>95250</xdr:rowOff>
    </xdr:from>
    <xdr:to>
      <xdr:col>7</xdr:col>
      <xdr:colOff>390504</xdr:colOff>
      <xdr:row>26</xdr:row>
      <xdr:rowOff>47624</xdr:rowOff>
    </xdr:to>
    <xdr:grpSp>
      <xdr:nvGrpSpPr>
        <xdr:cNvPr id="27" name="Group 26">
          <a:extLst>
            <a:ext uri="{FF2B5EF4-FFF2-40B4-BE49-F238E27FC236}">
              <a16:creationId xmlns:a16="http://schemas.microsoft.com/office/drawing/2014/main" id="{00000000-0008-0000-0300-00001B000000}"/>
            </a:ext>
          </a:extLst>
        </xdr:cNvPr>
        <xdr:cNvGrpSpPr/>
      </xdr:nvGrpSpPr>
      <xdr:grpSpPr>
        <a:xfrm>
          <a:off x="4862837" y="1714500"/>
          <a:ext cx="2504730" cy="3595687"/>
          <a:chOff x="3992460" y="1728107"/>
          <a:chExt cx="2943101" cy="3633809"/>
        </a:xfrm>
      </xdr:grpSpPr>
      <xdr:graphicFrame macro="">
        <xdr:nvGraphicFramePr>
          <xdr:cNvPr id="17" name="Chart 16">
            <a:extLst>
              <a:ext uri="{FF2B5EF4-FFF2-40B4-BE49-F238E27FC236}">
                <a16:creationId xmlns:a16="http://schemas.microsoft.com/office/drawing/2014/main" id="{00000000-0008-0000-0300-000011000000}"/>
              </a:ext>
            </a:extLst>
          </xdr:cNvPr>
          <xdr:cNvGraphicFramePr/>
        </xdr:nvGraphicFramePr>
        <xdr:xfrm>
          <a:off x="5109483" y="1805668"/>
          <a:ext cx="1455965" cy="1228725"/>
        </xdr:xfrm>
        <a:graphic>
          <a:graphicData uri="http://schemas.openxmlformats.org/drawingml/2006/chart">
            <c:chart xmlns:c="http://schemas.openxmlformats.org/drawingml/2006/chart" xmlns:r="http://schemas.openxmlformats.org/officeDocument/2006/relationships" r:id="rId5"/>
          </a:graphicData>
        </a:graphic>
      </xdr:graphicFrame>
      <xdr:graphicFrame macro="">
        <xdr:nvGraphicFramePr>
          <xdr:cNvPr id="19" name="Chart 18">
            <a:extLst>
              <a:ext uri="{FF2B5EF4-FFF2-40B4-BE49-F238E27FC236}">
                <a16:creationId xmlns:a16="http://schemas.microsoft.com/office/drawing/2014/main" id="{00000000-0008-0000-0300-000013000000}"/>
              </a:ext>
            </a:extLst>
          </xdr:cNvPr>
          <xdr:cNvGraphicFramePr>
            <a:graphicFrameLocks/>
          </xdr:cNvGraphicFramePr>
        </xdr:nvGraphicFramePr>
        <xdr:xfrm>
          <a:off x="5109483" y="2952753"/>
          <a:ext cx="1455965" cy="1228725"/>
        </xdr:xfrm>
        <a:graphic>
          <a:graphicData uri="http://schemas.openxmlformats.org/drawingml/2006/chart">
            <c:chart xmlns:c="http://schemas.openxmlformats.org/drawingml/2006/chart" xmlns:r="http://schemas.openxmlformats.org/officeDocument/2006/relationships" r:id="rId6"/>
          </a:graphicData>
        </a:graphic>
      </xdr:graphicFrame>
      <xdr:graphicFrame macro="">
        <xdr:nvGraphicFramePr>
          <xdr:cNvPr id="20" name="Chart 19">
            <a:extLst>
              <a:ext uri="{FF2B5EF4-FFF2-40B4-BE49-F238E27FC236}">
                <a16:creationId xmlns:a16="http://schemas.microsoft.com/office/drawing/2014/main" id="{00000000-0008-0000-0300-000014000000}"/>
              </a:ext>
            </a:extLst>
          </xdr:cNvPr>
          <xdr:cNvGraphicFramePr>
            <a:graphicFrameLocks/>
          </xdr:cNvGraphicFramePr>
        </xdr:nvGraphicFramePr>
        <xdr:xfrm>
          <a:off x="5109483" y="4082141"/>
          <a:ext cx="1455965" cy="1228725"/>
        </xdr:xfrm>
        <a:graphic>
          <a:graphicData uri="http://schemas.openxmlformats.org/drawingml/2006/chart">
            <c:chart xmlns:c="http://schemas.openxmlformats.org/drawingml/2006/chart" xmlns:r="http://schemas.openxmlformats.org/officeDocument/2006/relationships" r:id="rId7"/>
          </a:graphicData>
        </a:graphic>
      </xdr:graphicFrame>
      <xdr:sp macro="" textlink="$AG$9">
        <xdr:nvSpPr>
          <xdr:cNvPr id="18" name="TextBox 17">
            <a:extLst>
              <a:ext uri="{FF2B5EF4-FFF2-40B4-BE49-F238E27FC236}">
                <a16:creationId xmlns:a16="http://schemas.microsoft.com/office/drawing/2014/main" id="{00000000-0008-0000-0300-000012000000}"/>
              </a:ext>
            </a:extLst>
          </xdr:cNvPr>
          <xdr:cNvSpPr txBox="1"/>
        </xdr:nvSpPr>
        <xdr:spPr>
          <a:xfrm>
            <a:off x="5551715" y="2245179"/>
            <a:ext cx="653143" cy="3946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0455D950-BFAF-45A3-965E-26A28FB24078}" type="TxLink">
              <a:rPr lang="en-US" sz="1600" b="1" i="0" u="none" strike="noStrike">
                <a:solidFill>
                  <a:schemeClr val="bg2">
                    <a:lumMod val="10000"/>
                  </a:schemeClr>
                </a:solidFill>
                <a:latin typeface="Calibri"/>
                <a:cs typeface="Calibri"/>
              </a:rPr>
              <a:pPr/>
              <a:t>0,27</a:t>
            </a:fld>
            <a:endParaRPr lang="es-AR" sz="1600" b="1">
              <a:solidFill>
                <a:schemeClr val="bg2">
                  <a:lumMod val="10000"/>
                </a:schemeClr>
              </a:solidFill>
            </a:endParaRPr>
          </a:p>
        </xdr:txBody>
      </xdr:sp>
      <xdr:sp macro="" textlink="$AG$10">
        <xdr:nvSpPr>
          <xdr:cNvPr id="22" name="TextBox 21">
            <a:extLst>
              <a:ext uri="{FF2B5EF4-FFF2-40B4-BE49-F238E27FC236}">
                <a16:creationId xmlns:a16="http://schemas.microsoft.com/office/drawing/2014/main" id="{00000000-0008-0000-0300-000016000000}"/>
              </a:ext>
            </a:extLst>
          </xdr:cNvPr>
          <xdr:cNvSpPr txBox="1"/>
        </xdr:nvSpPr>
        <xdr:spPr>
          <a:xfrm>
            <a:off x="5551715" y="3377297"/>
            <a:ext cx="653143" cy="3946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6FCF8833-5C89-4357-BB0D-6BA80AD54079}" type="TxLink">
              <a:rPr lang="en-US" sz="1600" b="1" i="0" u="none" strike="noStrike">
                <a:solidFill>
                  <a:srgbClr val="000000"/>
                </a:solidFill>
                <a:latin typeface="Calibri"/>
                <a:cs typeface="Calibri"/>
              </a:rPr>
              <a:pPr/>
              <a:t>0,60</a:t>
            </a:fld>
            <a:endParaRPr lang="es-AR" sz="2400" b="1">
              <a:solidFill>
                <a:schemeClr val="bg2">
                  <a:lumMod val="10000"/>
                </a:schemeClr>
              </a:solidFill>
            </a:endParaRPr>
          </a:p>
        </xdr:txBody>
      </xdr:sp>
      <xdr:sp macro="" textlink="$AG$11">
        <xdr:nvSpPr>
          <xdr:cNvPr id="23" name="TextBox 22">
            <a:extLst>
              <a:ext uri="{FF2B5EF4-FFF2-40B4-BE49-F238E27FC236}">
                <a16:creationId xmlns:a16="http://schemas.microsoft.com/office/drawing/2014/main" id="{00000000-0008-0000-0300-000017000000}"/>
              </a:ext>
            </a:extLst>
          </xdr:cNvPr>
          <xdr:cNvSpPr txBox="1"/>
        </xdr:nvSpPr>
        <xdr:spPr>
          <a:xfrm>
            <a:off x="5551715" y="4509411"/>
            <a:ext cx="653143" cy="3946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F47D4824-3933-48C6-A8FF-860525C3EAF4}" type="TxLink">
              <a:rPr lang="en-US" sz="1600" b="1" i="0" u="none" strike="noStrike">
                <a:solidFill>
                  <a:srgbClr val="000000"/>
                </a:solidFill>
                <a:latin typeface="Calibri"/>
                <a:cs typeface="Calibri"/>
              </a:rPr>
              <a:pPr/>
              <a:t>1,19</a:t>
            </a:fld>
            <a:endParaRPr lang="es-AR" sz="3600" b="1">
              <a:solidFill>
                <a:schemeClr val="bg2">
                  <a:lumMod val="10000"/>
                </a:schemeClr>
              </a:solidFill>
            </a:endParaRPr>
          </a:p>
        </xdr:txBody>
      </xdr:sp>
      <xdr:sp macro="" textlink="">
        <xdr:nvSpPr>
          <xdr:cNvPr id="21" name="TextBox 20">
            <a:extLst>
              <a:ext uri="{FF2B5EF4-FFF2-40B4-BE49-F238E27FC236}">
                <a16:creationId xmlns:a16="http://schemas.microsoft.com/office/drawing/2014/main" id="{00000000-0008-0000-0300-000015000000}"/>
              </a:ext>
            </a:extLst>
          </xdr:cNvPr>
          <xdr:cNvSpPr txBox="1"/>
        </xdr:nvSpPr>
        <xdr:spPr>
          <a:xfrm>
            <a:off x="4758418" y="1728107"/>
            <a:ext cx="2177143"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AR" sz="1200" b="1"/>
              <a:t>MARGEN DE VENTAS</a:t>
            </a:r>
          </a:p>
        </xdr:txBody>
      </xdr:sp>
      <xdr:sp macro="" textlink="">
        <xdr:nvSpPr>
          <xdr:cNvPr id="25" name="TextBox 24">
            <a:extLst>
              <a:ext uri="{FF2B5EF4-FFF2-40B4-BE49-F238E27FC236}">
                <a16:creationId xmlns:a16="http://schemas.microsoft.com/office/drawing/2014/main" id="{00000000-0008-0000-0300-000019000000}"/>
              </a:ext>
            </a:extLst>
          </xdr:cNvPr>
          <xdr:cNvSpPr txBox="1"/>
        </xdr:nvSpPr>
        <xdr:spPr>
          <a:xfrm>
            <a:off x="4758418" y="2846613"/>
            <a:ext cx="2177143"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AR" sz="1200" b="1"/>
              <a:t>ROTACIÓN</a:t>
            </a:r>
          </a:p>
        </xdr:txBody>
      </xdr:sp>
      <xdr:sp macro="" textlink="">
        <xdr:nvSpPr>
          <xdr:cNvPr id="26" name="TextBox 25">
            <a:extLst>
              <a:ext uri="{FF2B5EF4-FFF2-40B4-BE49-F238E27FC236}">
                <a16:creationId xmlns:a16="http://schemas.microsoft.com/office/drawing/2014/main" id="{00000000-0008-0000-0300-00001A000000}"/>
              </a:ext>
            </a:extLst>
          </xdr:cNvPr>
          <xdr:cNvSpPr txBox="1"/>
        </xdr:nvSpPr>
        <xdr:spPr>
          <a:xfrm>
            <a:off x="4758418" y="3978726"/>
            <a:ext cx="2177143"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AR" sz="1200" b="1"/>
              <a:t>FACTOR MULTIPLICADOR</a:t>
            </a:r>
          </a:p>
        </xdr:txBody>
      </xdr:sp>
      <xdr:sp macro="" textlink="">
        <xdr:nvSpPr>
          <xdr:cNvPr id="24" name="TextBox 23">
            <a:extLst>
              <a:ext uri="{FF2B5EF4-FFF2-40B4-BE49-F238E27FC236}">
                <a16:creationId xmlns:a16="http://schemas.microsoft.com/office/drawing/2014/main" id="{00000000-0008-0000-0300-000018000000}"/>
              </a:ext>
            </a:extLst>
          </xdr:cNvPr>
          <xdr:cNvSpPr txBox="1"/>
        </xdr:nvSpPr>
        <xdr:spPr>
          <a:xfrm>
            <a:off x="3992460" y="1755319"/>
            <a:ext cx="662076" cy="3606597"/>
          </a:xfrm>
          <a:prstGeom prst="homePlate">
            <a:avLst/>
          </a:prstGeom>
          <a:solidFill>
            <a:schemeClr val="lt1"/>
          </a:solidFill>
          <a:ln w="127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 wrap="square" rtlCol="0" anchor="t"/>
          <a:lstStyle/>
          <a:p>
            <a:pPr lvl="1" algn="l"/>
            <a:r>
              <a:rPr lang="es-AR" sz="1800"/>
              <a:t>DUPONT</a:t>
            </a:r>
          </a:p>
        </xdr:txBody>
      </xdr:sp>
    </xdr:grpSp>
    <xdr:clientData/>
  </xdr:twoCellAnchor>
  <xdr:twoCellAnchor>
    <xdr:from>
      <xdr:col>1</xdr:col>
      <xdr:colOff>523875</xdr:colOff>
      <xdr:row>24</xdr:row>
      <xdr:rowOff>154781</xdr:rowOff>
    </xdr:from>
    <xdr:to>
      <xdr:col>4</xdr:col>
      <xdr:colOff>95249</xdr:colOff>
      <xdr:row>28</xdr:row>
      <xdr:rowOff>6802</xdr:rowOff>
    </xdr:to>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619125" y="5036344"/>
          <a:ext cx="2786062" cy="614021"/>
        </a:xfrm>
        <a:prstGeom prst="roundRect">
          <a:avLst/>
        </a:prstGeom>
        <a:solidFill>
          <a:schemeClr val="bg2">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AR" sz="1200" b="1">
              <a:solidFill>
                <a:schemeClr val="bg1"/>
              </a:solidFill>
            </a:rPr>
            <a:t>TASA</a:t>
          </a:r>
          <a:r>
            <a:rPr lang="es-AR" sz="1200" b="1" baseline="0">
              <a:solidFill>
                <a:schemeClr val="bg1"/>
              </a:solidFill>
            </a:rPr>
            <a:t> DE CRECIMIENTO </a:t>
          </a:r>
        </a:p>
        <a:p>
          <a:endParaRPr lang="es-AR" sz="1100"/>
        </a:p>
      </xdr:txBody>
    </xdr:sp>
    <xdr:clientData/>
  </xdr:twoCellAnchor>
  <xdr:twoCellAnchor>
    <xdr:from>
      <xdr:col>1</xdr:col>
      <xdr:colOff>857250</xdr:colOff>
      <xdr:row>26</xdr:row>
      <xdr:rowOff>35719</xdr:rowOff>
    </xdr:from>
    <xdr:to>
      <xdr:col>3</xdr:col>
      <xdr:colOff>309562</xdr:colOff>
      <xdr:row>27</xdr:row>
      <xdr:rowOff>113959</xdr:rowOff>
    </xdr:to>
    <xdr:sp macro="" textlink="'Indicadores Empresariales'!C15">
      <xdr:nvSpPr>
        <xdr:cNvPr id="16" name="TextBox 15">
          <a:extLst>
            <a:ext uri="{FF2B5EF4-FFF2-40B4-BE49-F238E27FC236}">
              <a16:creationId xmlns:a16="http://schemas.microsoft.com/office/drawing/2014/main" id="{00000000-0008-0000-0300-000010000000}"/>
            </a:ext>
          </a:extLst>
        </xdr:cNvPr>
        <xdr:cNvSpPr txBox="1"/>
      </xdr:nvSpPr>
      <xdr:spPr>
        <a:xfrm>
          <a:off x="952500" y="5286375"/>
          <a:ext cx="1905000" cy="268740"/>
        </a:xfrm>
        <a:prstGeom prst="roundRect">
          <a:avLst/>
        </a:prstGeom>
        <a:solidFill>
          <a:schemeClr val="bg1">
            <a:lumMod val="75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FDA907FE-1DC8-43C3-AF5D-6E8B810AE63B}" type="TxLink">
            <a:rPr lang="en-US" sz="1600" b="1" i="0" u="none" strike="noStrike">
              <a:solidFill>
                <a:srgbClr val="000000"/>
              </a:solidFill>
              <a:latin typeface="Calibri"/>
              <a:cs typeface="Calibri"/>
            </a:rPr>
            <a:pPr algn="ctr"/>
            <a:t>14,6%</a:t>
          </a:fld>
          <a:endParaRPr lang="es-AR" sz="1600" b="1"/>
        </a:p>
      </xdr:txBody>
    </xdr:sp>
    <xdr:clientData/>
  </xdr:twoCellAnchor>
  <xdr:twoCellAnchor>
    <xdr:from>
      <xdr:col>7</xdr:col>
      <xdr:colOff>823232</xdr:colOff>
      <xdr:row>6</xdr:row>
      <xdr:rowOff>285067</xdr:rowOff>
    </xdr:from>
    <xdr:to>
      <xdr:col>12</xdr:col>
      <xdr:colOff>54429</xdr:colOff>
      <xdr:row>17</xdr:row>
      <xdr:rowOff>47624</xdr:rowOff>
    </xdr:to>
    <xdr:graphicFrame macro="">
      <xdr:nvGraphicFramePr>
        <xdr:cNvPr id="31" name="Chart 30">
          <a:extLst>
            <a:ext uri="{FF2B5EF4-FFF2-40B4-BE49-F238E27FC236}">
              <a16:creationId xmlns:a16="http://schemas.microsoft.com/office/drawing/2014/main" id="{00000000-0008-0000-0300-00001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950969</xdr:colOff>
      <xdr:row>7</xdr:row>
      <xdr:rowOff>81643</xdr:rowOff>
    </xdr:from>
    <xdr:to>
      <xdr:col>10</xdr:col>
      <xdr:colOff>297826</xdr:colOff>
      <xdr:row>8</xdr:row>
      <xdr:rowOff>136072</xdr:rowOff>
    </xdr:to>
    <xdr:sp macro="" textlink="">
      <xdr:nvSpPr>
        <xdr:cNvPr id="6144" name="TextBox 6143">
          <a:extLst>
            <a:ext uri="{FF2B5EF4-FFF2-40B4-BE49-F238E27FC236}">
              <a16:creationId xmlns:a16="http://schemas.microsoft.com/office/drawing/2014/main" id="{00000000-0008-0000-0300-000000180000}"/>
            </a:ext>
          </a:extLst>
        </xdr:cNvPr>
        <xdr:cNvSpPr txBox="1"/>
      </xdr:nvSpPr>
      <xdr:spPr>
        <a:xfrm>
          <a:off x="7880407" y="1700893"/>
          <a:ext cx="2668700" cy="24492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AR" sz="1200" b="1"/>
            <a:t>ENDEUDAMIENTO/ACTIVO</a:t>
          </a:r>
        </a:p>
      </xdr:txBody>
    </xdr:sp>
    <xdr:clientData/>
  </xdr:twoCellAnchor>
  <xdr:twoCellAnchor>
    <xdr:from>
      <xdr:col>7</xdr:col>
      <xdr:colOff>950969</xdr:colOff>
      <xdr:row>11</xdr:row>
      <xdr:rowOff>152401</xdr:rowOff>
    </xdr:from>
    <xdr:to>
      <xdr:col>10</xdr:col>
      <xdr:colOff>297826</xdr:colOff>
      <xdr:row>13</xdr:row>
      <xdr:rowOff>16330</xdr:rowOff>
    </xdr:to>
    <xdr:sp macro="" textlink="">
      <xdr:nvSpPr>
        <xdr:cNvPr id="34" name="TextBox 33">
          <a:extLst>
            <a:ext uri="{FF2B5EF4-FFF2-40B4-BE49-F238E27FC236}">
              <a16:creationId xmlns:a16="http://schemas.microsoft.com/office/drawing/2014/main" id="{00000000-0008-0000-0300-000022000000}"/>
            </a:ext>
          </a:extLst>
        </xdr:cNvPr>
        <xdr:cNvSpPr txBox="1"/>
      </xdr:nvSpPr>
      <xdr:spPr>
        <a:xfrm>
          <a:off x="7880407" y="2545557"/>
          <a:ext cx="2668700" cy="24492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AR" sz="1200" b="1"/>
            <a:t>ENDEUDAMIENTO/PATRIMONIO NETO</a:t>
          </a:r>
        </a:p>
      </xdr:txBody>
    </xdr:sp>
    <xdr:clientData/>
  </xdr:twoCellAnchor>
  <xdr:twoCellAnchor>
    <xdr:from>
      <xdr:col>12</xdr:col>
      <xdr:colOff>714374</xdr:colOff>
      <xdr:row>15</xdr:row>
      <xdr:rowOff>47624</xdr:rowOff>
    </xdr:from>
    <xdr:to>
      <xdr:col>17</xdr:col>
      <xdr:colOff>690561</xdr:colOff>
      <xdr:row>21</xdr:row>
      <xdr:rowOff>107154</xdr:rowOff>
    </xdr:to>
    <xdr:graphicFrame macro="">
      <xdr:nvGraphicFramePr>
        <xdr:cNvPr id="40" name="Chart 39">
          <a:extLst>
            <a:ext uri="{FF2B5EF4-FFF2-40B4-BE49-F238E27FC236}">
              <a16:creationId xmlns:a16="http://schemas.microsoft.com/office/drawing/2014/main" id="{00000000-0008-0000-03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12</xdr:col>
      <xdr:colOff>654842</xdr:colOff>
      <xdr:row>7</xdr:row>
      <xdr:rowOff>71437</xdr:rowOff>
    </xdr:from>
    <xdr:to>
      <xdr:col>18</xdr:col>
      <xdr:colOff>71437</xdr:colOff>
      <xdr:row>14</xdr:row>
      <xdr:rowOff>11906</xdr:rowOff>
    </xdr:to>
    <xdr:graphicFrame macro="">
      <xdr:nvGraphicFramePr>
        <xdr:cNvPr id="38" name="Chart 37">
          <a:extLst>
            <a:ext uri="{FF2B5EF4-FFF2-40B4-BE49-F238E27FC236}">
              <a16:creationId xmlns:a16="http://schemas.microsoft.com/office/drawing/2014/main" id="{00000000-0008-0000-03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12</xdr:col>
      <xdr:colOff>714374</xdr:colOff>
      <xdr:row>19</xdr:row>
      <xdr:rowOff>35719</xdr:rowOff>
    </xdr:from>
    <xdr:to>
      <xdr:col>17</xdr:col>
      <xdr:colOff>690561</xdr:colOff>
      <xdr:row>25</xdr:row>
      <xdr:rowOff>107155</xdr:rowOff>
    </xdr:to>
    <xdr:graphicFrame macro="">
      <xdr:nvGraphicFramePr>
        <xdr:cNvPr id="41" name="Chart 40">
          <a:extLst>
            <a:ext uri="{FF2B5EF4-FFF2-40B4-BE49-F238E27FC236}">
              <a16:creationId xmlns:a16="http://schemas.microsoft.com/office/drawing/2014/main" id="{00000000-0008-0000-03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12</xdr:col>
      <xdr:colOff>714375</xdr:colOff>
      <xdr:row>24</xdr:row>
      <xdr:rowOff>11906</xdr:rowOff>
    </xdr:from>
    <xdr:to>
      <xdr:col>17</xdr:col>
      <xdr:colOff>690562</xdr:colOff>
      <xdr:row>29</xdr:row>
      <xdr:rowOff>153543</xdr:rowOff>
    </xdr:to>
    <xdr:graphicFrame macro="">
      <xdr:nvGraphicFramePr>
        <xdr:cNvPr id="42" name="Chart 41">
          <a:extLst>
            <a:ext uri="{FF2B5EF4-FFF2-40B4-BE49-F238E27FC236}">
              <a16:creationId xmlns:a16="http://schemas.microsoft.com/office/drawing/2014/main" id="{00000000-0008-0000-03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12</xdr:col>
      <xdr:colOff>402094</xdr:colOff>
      <xdr:row>7</xdr:row>
      <xdr:rowOff>31638</xdr:rowOff>
    </xdr:from>
    <xdr:to>
      <xdr:col>14</xdr:col>
      <xdr:colOff>476250</xdr:colOff>
      <xdr:row>8</xdr:row>
      <xdr:rowOff>47626</xdr:rowOff>
    </xdr:to>
    <xdr:sp macro="" textlink="">
      <xdr:nvSpPr>
        <xdr:cNvPr id="43" name="TextBox 42">
          <a:extLst>
            <a:ext uri="{FF2B5EF4-FFF2-40B4-BE49-F238E27FC236}">
              <a16:creationId xmlns:a16="http://schemas.microsoft.com/office/drawing/2014/main" id="{00000000-0008-0000-0300-00002B000000}"/>
            </a:ext>
          </a:extLst>
        </xdr:cNvPr>
        <xdr:cNvSpPr txBox="1"/>
      </xdr:nvSpPr>
      <xdr:spPr>
        <a:xfrm>
          <a:off x="12177375" y="1650888"/>
          <a:ext cx="1598156" cy="2064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AR" sz="1200" b="1"/>
            <a:t>CAPITAL DE TRABAJO</a:t>
          </a:r>
        </a:p>
      </xdr:txBody>
    </xdr:sp>
    <xdr:clientData/>
  </xdr:twoCellAnchor>
  <xdr:twoCellAnchor>
    <xdr:from>
      <xdr:col>12</xdr:col>
      <xdr:colOff>402094</xdr:colOff>
      <xdr:row>11</xdr:row>
      <xdr:rowOff>172134</xdr:rowOff>
    </xdr:from>
    <xdr:to>
      <xdr:col>14</xdr:col>
      <xdr:colOff>476250</xdr:colOff>
      <xdr:row>12</xdr:row>
      <xdr:rowOff>188122</xdr:rowOff>
    </xdr:to>
    <xdr:sp macro="" textlink="">
      <xdr:nvSpPr>
        <xdr:cNvPr id="44" name="TextBox 43">
          <a:extLst>
            <a:ext uri="{FF2B5EF4-FFF2-40B4-BE49-F238E27FC236}">
              <a16:creationId xmlns:a16="http://schemas.microsoft.com/office/drawing/2014/main" id="{00000000-0008-0000-0300-00002C000000}"/>
            </a:ext>
          </a:extLst>
        </xdr:cNvPr>
        <xdr:cNvSpPr txBox="1"/>
      </xdr:nvSpPr>
      <xdr:spPr>
        <a:xfrm>
          <a:off x="12606000" y="2565290"/>
          <a:ext cx="1598156" cy="2541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AR" sz="1200" b="1"/>
            <a:t>LIQUIDEZ</a:t>
          </a:r>
        </a:p>
      </xdr:txBody>
    </xdr:sp>
    <xdr:clientData/>
  </xdr:twoCellAnchor>
  <xdr:twoCellAnchor>
    <xdr:from>
      <xdr:col>12</xdr:col>
      <xdr:colOff>402094</xdr:colOff>
      <xdr:row>15</xdr:row>
      <xdr:rowOff>181654</xdr:rowOff>
    </xdr:from>
    <xdr:to>
      <xdr:col>14</xdr:col>
      <xdr:colOff>476250</xdr:colOff>
      <xdr:row>17</xdr:row>
      <xdr:rowOff>7142</xdr:rowOff>
    </xdr:to>
    <xdr:sp macro="" textlink="">
      <xdr:nvSpPr>
        <xdr:cNvPr id="45" name="TextBox 44">
          <a:extLst>
            <a:ext uri="{FF2B5EF4-FFF2-40B4-BE49-F238E27FC236}">
              <a16:creationId xmlns:a16="http://schemas.microsoft.com/office/drawing/2014/main" id="{00000000-0008-0000-0300-00002D000000}"/>
            </a:ext>
          </a:extLst>
        </xdr:cNvPr>
        <xdr:cNvSpPr txBox="1"/>
      </xdr:nvSpPr>
      <xdr:spPr>
        <a:xfrm>
          <a:off x="12177375" y="3324904"/>
          <a:ext cx="1598156" cy="2064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AR" sz="1200" b="1"/>
            <a:t>PRUEBA ÁCIDA</a:t>
          </a:r>
        </a:p>
      </xdr:txBody>
    </xdr:sp>
    <xdr:clientData/>
  </xdr:twoCellAnchor>
  <xdr:twoCellAnchor>
    <xdr:from>
      <xdr:col>12</xdr:col>
      <xdr:colOff>402094</xdr:colOff>
      <xdr:row>19</xdr:row>
      <xdr:rowOff>119738</xdr:rowOff>
    </xdr:from>
    <xdr:to>
      <xdr:col>14</xdr:col>
      <xdr:colOff>476250</xdr:colOff>
      <xdr:row>20</xdr:row>
      <xdr:rowOff>135726</xdr:rowOff>
    </xdr:to>
    <xdr:sp macro="" textlink="">
      <xdr:nvSpPr>
        <xdr:cNvPr id="46" name="TextBox 45">
          <a:extLst>
            <a:ext uri="{FF2B5EF4-FFF2-40B4-BE49-F238E27FC236}">
              <a16:creationId xmlns:a16="http://schemas.microsoft.com/office/drawing/2014/main" id="{00000000-0008-0000-0300-00002E000000}"/>
            </a:ext>
          </a:extLst>
        </xdr:cNvPr>
        <xdr:cNvSpPr txBox="1"/>
      </xdr:nvSpPr>
      <xdr:spPr>
        <a:xfrm>
          <a:off x="12177375" y="4036894"/>
          <a:ext cx="1598156" cy="2064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AR" sz="1200" b="1"/>
            <a:t>SOLVENCIA</a:t>
          </a:r>
        </a:p>
      </xdr:txBody>
    </xdr:sp>
    <xdr:clientData/>
  </xdr:twoCellAnchor>
  <xdr:twoCellAnchor>
    <xdr:from>
      <xdr:col>12</xdr:col>
      <xdr:colOff>402094</xdr:colOff>
      <xdr:row>23</xdr:row>
      <xdr:rowOff>141165</xdr:rowOff>
    </xdr:from>
    <xdr:to>
      <xdr:col>14</xdr:col>
      <xdr:colOff>275037</xdr:colOff>
      <xdr:row>24</xdr:row>
      <xdr:rowOff>180964</xdr:rowOff>
    </xdr:to>
    <xdr:sp macro="" textlink="">
      <xdr:nvSpPr>
        <xdr:cNvPr id="47" name="TextBox 46">
          <a:extLst>
            <a:ext uri="{FF2B5EF4-FFF2-40B4-BE49-F238E27FC236}">
              <a16:creationId xmlns:a16="http://schemas.microsoft.com/office/drawing/2014/main" id="{00000000-0008-0000-0300-00002F000000}"/>
            </a:ext>
          </a:extLst>
        </xdr:cNvPr>
        <xdr:cNvSpPr txBox="1"/>
      </xdr:nvSpPr>
      <xdr:spPr>
        <a:xfrm>
          <a:off x="12177375" y="4820321"/>
          <a:ext cx="1396943" cy="2302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AR" sz="1200" b="1"/>
            <a:t>RESPALDO</a:t>
          </a:r>
          <a:endParaRPr lang="es-AR" sz="1050" b="1"/>
        </a:p>
      </xdr:txBody>
    </xdr:sp>
    <xdr:clientData/>
  </xdr:twoCellAnchor>
  <mc:AlternateContent xmlns:mc="http://schemas.openxmlformats.org/markup-compatibility/2006">
    <mc:Choice xmlns:a14="http://schemas.microsoft.com/office/drawing/2010/main" Requires="a14">
      <xdr:twoCellAnchor editAs="oneCell">
        <xdr:from>
          <xdr:col>5</xdr:col>
          <xdr:colOff>19050</xdr:colOff>
          <xdr:row>8</xdr:row>
          <xdr:rowOff>180975</xdr:rowOff>
        </xdr:from>
        <xdr:to>
          <xdr:col>6</xdr:col>
          <xdr:colOff>295275</xdr:colOff>
          <xdr:row>10</xdr:row>
          <xdr:rowOff>28575</xdr:rowOff>
        </xdr:to>
        <xdr:sp macro="" textlink="">
          <xdr:nvSpPr>
            <xdr:cNvPr id="6146" name="Scroll Bar 2" hidden="1">
              <a:extLst>
                <a:ext uri="{63B3BB69-23CF-44E3-9099-C40C66FF867C}">
                  <a14:compatExt spid="_x0000_s6146"/>
                </a:ext>
                <a:ext uri="{FF2B5EF4-FFF2-40B4-BE49-F238E27FC236}">
                  <a16:creationId xmlns:a16="http://schemas.microsoft.com/office/drawing/2014/main" id="{00000000-0008-0000-0300-000002180000}"/>
                </a:ext>
              </a:extLst>
            </xdr:cNvPr>
            <xdr:cNvSpPr/>
          </xdr:nvSpPr>
          <xdr:spPr bwMode="auto">
            <a:xfrm>
              <a:off x="0" y="0"/>
              <a:ext cx="0" cy="0"/>
            </a:xfrm>
            <a:prstGeom prst="rect">
              <a:avLst/>
            </a:prstGeom>
            <a:noFill/>
            <a:ln w="9525">
              <a:miter lim="800000"/>
              <a:headEnd/>
              <a:tailEnd/>
            </a:ln>
          </xdr:spPr>
        </xdr:sp>
        <xdr:clientData fLocksWithSheet="0"/>
      </xdr:twoCellAnchor>
    </mc:Choice>
    <mc:Fallback/>
  </mc:AlternateContent>
  <xdr:twoCellAnchor>
    <xdr:from>
      <xdr:col>6</xdr:col>
      <xdr:colOff>142873</xdr:colOff>
      <xdr:row>29</xdr:row>
      <xdr:rowOff>130968</xdr:rowOff>
    </xdr:from>
    <xdr:to>
      <xdr:col>6</xdr:col>
      <xdr:colOff>440529</xdr:colOff>
      <xdr:row>43</xdr:row>
      <xdr:rowOff>178593</xdr:rowOff>
    </xdr:to>
    <xdr:sp macro="" textlink="">
      <xdr:nvSpPr>
        <xdr:cNvPr id="28" name="TextBox 27">
          <a:extLst>
            <a:ext uri="{FF2B5EF4-FFF2-40B4-BE49-F238E27FC236}">
              <a16:creationId xmlns:a16="http://schemas.microsoft.com/office/drawing/2014/main" id="{00000000-0008-0000-0300-00001C000000}"/>
            </a:ext>
          </a:extLst>
        </xdr:cNvPr>
        <xdr:cNvSpPr txBox="1"/>
      </xdr:nvSpPr>
      <xdr:spPr>
        <a:xfrm>
          <a:off x="4774404" y="6072187"/>
          <a:ext cx="297656" cy="2607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t"/>
        <a:lstStyle/>
        <a:p>
          <a:pPr algn="ctr"/>
          <a:r>
            <a:rPr lang="es-AR" sz="1200" b="1"/>
            <a:t>DISTRIBUCIÓN</a:t>
          </a:r>
          <a:r>
            <a:rPr lang="es-AR" sz="1200" b="1" baseline="0"/>
            <a:t> POR ACTIVIDAD</a:t>
          </a:r>
          <a:endParaRPr lang="es-AR" sz="1200" b="1"/>
        </a:p>
      </xdr:txBody>
    </xdr:sp>
    <xdr:clientData/>
  </xdr:twoCellAnchor>
  <xdr:twoCellAnchor>
    <xdr:from>
      <xdr:col>7</xdr:col>
      <xdr:colOff>785811</xdr:colOff>
      <xdr:row>30</xdr:row>
      <xdr:rowOff>214312</xdr:rowOff>
    </xdr:from>
    <xdr:to>
      <xdr:col>12</xdr:col>
      <xdr:colOff>250031</xdr:colOff>
      <xdr:row>45</xdr:row>
      <xdr:rowOff>47621</xdr:rowOff>
    </xdr:to>
    <xdr:graphicFrame macro="">
      <xdr:nvGraphicFramePr>
        <xdr:cNvPr id="29" name="Chart 28">
          <a:extLst>
            <a:ext uri="{FF2B5EF4-FFF2-40B4-BE49-F238E27FC236}">
              <a16:creationId xmlns:a16="http://schemas.microsoft.com/office/drawing/2014/main" id="{00000000-0008-0000-0300-00001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12</xdr:col>
      <xdr:colOff>214313</xdr:colOff>
      <xdr:row>31</xdr:row>
      <xdr:rowOff>202406</xdr:rowOff>
    </xdr:from>
    <xdr:to>
      <xdr:col>16</xdr:col>
      <xdr:colOff>23814</xdr:colOff>
      <xdr:row>33</xdr:row>
      <xdr:rowOff>47625</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2037219" y="6584156"/>
          <a:ext cx="2857501" cy="261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AR" sz="1100" b="1" cap="none" spc="0">
              <a:ln w="0"/>
              <a:solidFill>
                <a:schemeClr val="tx1"/>
              </a:solidFill>
              <a:effectLst>
                <a:outerShdw blurRad="38100" dist="19050" dir="2700000" algn="tl" rotWithShape="0">
                  <a:schemeClr val="dk1">
                    <a:alpha val="40000"/>
                  </a:schemeClr>
                </a:outerShdw>
              </a:effectLst>
            </a:rPr>
            <a:t>Margen Bruto / Ingreso Neto</a:t>
          </a:r>
        </a:p>
      </xdr:txBody>
    </xdr:sp>
    <xdr:clientData/>
  </xdr:twoCellAnchor>
  <xdr:twoCellAnchor>
    <xdr:from>
      <xdr:col>7</xdr:col>
      <xdr:colOff>1440655</xdr:colOff>
      <xdr:row>29</xdr:row>
      <xdr:rowOff>154779</xdr:rowOff>
    </xdr:from>
    <xdr:to>
      <xdr:col>8</xdr:col>
      <xdr:colOff>1047750</xdr:colOff>
      <xdr:row>31</xdr:row>
      <xdr:rowOff>0</xdr:rowOff>
    </xdr:to>
    <xdr:sp macro="" textlink="">
      <xdr:nvSpPr>
        <xdr:cNvPr id="30" name="TextBox 29">
          <a:extLst>
            <a:ext uri="{FF2B5EF4-FFF2-40B4-BE49-F238E27FC236}">
              <a16:creationId xmlns:a16="http://schemas.microsoft.com/office/drawing/2014/main" id="{00000000-0008-0000-0300-00001E000000}"/>
            </a:ext>
          </a:extLst>
        </xdr:cNvPr>
        <xdr:cNvSpPr txBox="1"/>
      </xdr:nvSpPr>
      <xdr:spPr>
        <a:xfrm>
          <a:off x="8417718" y="6095998"/>
          <a:ext cx="1690688" cy="285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AR" sz="1200" b="1"/>
            <a:t>INGRESOS</a:t>
          </a:r>
          <a:r>
            <a:rPr lang="es-AR" sz="1200" b="1" baseline="0"/>
            <a:t> NETOS</a:t>
          </a:r>
          <a:endParaRPr lang="es-AR" sz="1200" b="1"/>
        </a:p>
      </xdr:txBody>
    </xdr:sp>
    <xdr:clientData/>
  </xdr:twoCellAnchor>
  <xdr:twoCellAnchor>
    <xdr:from>
      <xdr:col>12</xdr:col>
      <xdr:colOff>214313</xdr:colOff>
      <xdr:row>32</xdr:row>
      <xdr:rowOff>200025</xdr:rowOff>
    </xdr:from>
    <xdr:to>
      <xdr:col>16</xdr:col>
      <xdr:colOff>23814</xdr:colOff>
      <xdr:row>34</xdr:row>
      <xdr:rowOff>57151</xdr:rowOff>
    </xdr:to>
    <xdr:sp macro="" textlink="">
      <xdr:nvSpPr>
        <xdr:cNvPr id="49" name="TextBox 48">
          <a:extLst>
            <a:ext uri="{FF2B5EF4-FFF2-40B4-BE49-F238E27FC236}">
              <a16:creationId xmlns:a16="http://schemas.microsoft.com/office/drawing/2014/main" id="{00000000-0008-0000-0300-000031000000}"/>
            </a:ext>
          </a:extLst>
        </xdr:cNvPr>
        <xdr:cNvSpPr txBox="1"/>
      </xdr:nvSpPr>
      <xdr:spPr>
        <a:xfrm>
          <a:off x="12037219" y="6796088"/>
          <a:ext cx="2857501" cy="261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AR" sz="1100" b="1" cap="none" spc="0">
              <a:ln w="0"/>
              <a:solidFill>
                <a:schemeClr val="tx1"/>
              </a:solidFill>
              <a:effectLst>
                <a:outerShdw blurRad="38100" dist="19050" dir="2700000" algn="tl" rotWithShape="0">
                  <a:schemeClr val="dk1">
                    <a:alpha val="40000"/>
                  </a:schemeClr>
                </a:outerShdw>
              </a:effectLst>
            </a:rPr>
            <a:t>Indirectos</a:t>
          </a:r>
          <a:r>
            <a:rPr lang="es-AR" sz="1100" b="1" cap="none" spc="0" baseline="0">
              <a:ln w="0"/>
              <a:solidFill>
                <a:schemeClr val="tx1"/>
              </a:solidFill>
              <a:effectLst>
                <a:outerShdw blurRad="38100" dist="19050" dir="2700000" algn="tl" rotWithShape="0">
                  <a:schemeClr val="dk1">
                    <a:alpha val="40000"/>
                  </a:schemeClr>
                </a:outerShdw>
              </a:effectLst>
            </a:rPr>
            <a:t> / Margen Bruto</a:t>
          </a:r>
          <a:endParaRPr lang="es-AR" sz="1100" b="1"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12</xdr:col>
      <xdr:colOff>214313</xdr:colOff>
      <xdr:row>34</xdr:row>
      <xdr:rowOff>7145</xdr:rowOff>
    </xdr:from>
    <xdr:to>
      <xdr:col>16</xdr:col>
      <xdr:colOff>23814</xdr:colOff>
      <xdr:row>35</xdr:row>
      <xdr:rowOff>66677</xdr:rowOff>
    </xdr:to>
    <xdr:sp macro="" textlink="">
      <xdr:nvSpPr>
        <xdr:cNvPr id="50" name="TextBox 49">
          <a:extLst>
            <a:ext uri="{FF2B5EF4-FFF2-40B4-BE49-F238E27FC236}">
              <a16:creationId xmlns:a16="http://schemas.microsoft.com/office/drawing/2014/main" id="{00000000-0008-0000-0300-000032000000}"/>
            </a:ext>
          </a:extLst>
        </xdr:cNvPr>
        <xdr:cNvSpPr txBox="1"/>
      </xdr:nvSpPr>
      <xdr:spPr>
        <a:xfrm>
          <a:off x="12037219" y="7008020"/>
          <a:ext cx="2857501" cy="261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AR" sz="1100" b="1" cap="none" spc="0">
              <a:ln w="0"/>
              <a:solidFill>
                <a:schemeClr val="tx1"/>
              </a:solidFill>
              <a:effectLst>
                <a:outerShdw blurRad="38100" dist="19050" dir="2700000" algn="tl" rotWithShape="0">
                  <a:schemeClr val="dk1">
                    <a:alpha val="40000"/>
                  </a:schemeClr>
                </a:outerShdw>
              </a:effectLst>
            </a:rPr>
            <a:t>EBITDA</a:t>
          </a:r>
          <a:r>
            <a:rPr lang="es-AR" sz="1100" b="1" cap="none" spc="0" baseline="0">
              <a:ln w="0"/>
              <a:solidFill>
                <a:schemeClr val="tx1"/>
              </a:solidFill>
              <a:effectLst>
                <a:outerShdw blurRad="38100" dist="19050" dir="2700000" algn="tl" rotWithShape="0">
                  <a:schemeClr val="dk1">
                    <a:alpha val="40000"/>
                  </a:schemeClr>
                </a:outerShdw>
              </a:effectLst>
            </a:rPr>
            <a:t> / Margen Bruto</a:t>
          </a:r>
          <a:endParaRPr lang="es-AR" sz="1100" b="1"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12</xdr:col>
      <xdr:colOff>214313</xdr:colOff>
      <xdr:row>35</xdr:row>
      <xdr:rowOff>0</xdr:rowOff>
    </xdr:from>
    <xdr:to>
      <xdr:col>16</xdr:col>
      <xdr:colOff>23814</xdr:colOff>
      <xdr:row>36</xdr:row>
      <xdr:rowOff>59531</xdr:rowOff>
    </xdr:to>
    <xdr:sp macro="" textlink="">
      <xdr:nvSpPr>
        <xdr:cNvPr id="51" name="TextBox 50">
          <a:extLst>
            <a:ext uri="{FF2B5EF4-FFF2-40B4-BE49-F238E27FC236}">
              <a16:creationId xmlns:a16="http://schemas.microsoft.com/office/drawing/2014/main" id="{00000000-0008-0000-0300-000033000000}"/>
            </a:ext>
          </a:extLst>
        </xdr:cNvPr>
        <xdr:cNvSpPr txBox="1"/>
      </xdr:nvSpPr>
      <xdr:spPr>
        <a:xfrm>
          <a:off x="12037219" y="7203281"/>
          <a:ext cx="2857501" cy="261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AR" sz="1100" b="1" cap="none" spc="0">
              <a:ln w="0"/>
              <a:solidFill>
                <a:schemeClr val="tx1"/>
              </a:solidFill>
              <a:effectLst>
                <a:outerShdw blurRad="38100" dist="19050" dir="2700000" algn="tl" rotWithShape="0">
                  <a:schemeClr val="dk1">
                    <a:alpha val="40000"/>
                  </a:schemeClr>
                </a:outerShdw>
              </a:effectLst>
            </a:rPr>
            <a:t>BAII / Margen</a:t>
          </a:r>
          <a:r>
            <a:rPr lang="es-AR" sz="1100" b="1" cap="none" spc="0" baseline="0">
              <a:ln w="0"/>
              <a:solidFill>
                <a:schemeClr val="tx1"/>
              </a:solidFill>
              <a:effectLst>
                <a:outerShdw blurRad="38100" dist="19050" dir="2700000" algn="tl" rotWithShape="0">
                  <a:schemeClr val="dk1">
                    <a:alpha val="40000"/>
                  </a:schemeClr>
                </a:outerShdw>
              </a:effectLst>
            </a:rPr>
            <a:t> Bruto</a:t>
          </a:r>
          <a:endParaRPr lang="es-AR" sz="1100" b="1"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12</xdr:col>
      <xdr:colOff>214313</xdr:colOff>
      <xdr:row>36</xdr:row>
      <xdr:rowOff>-1</xdr:rowOff>
    </xdr:from>
    <xdr:to>
      <xdr:col>16</xdr:col>
      <xdr:colOff>23814</xdr:colOff>
      <xdr:row>37</xdr:row>
      <xdr:rowOff>59531</xdr:rowOff>
    </xdr:to>
    <xdr:sp macro="" textlink="">
      <xdr:nvSpPr>
        <xdr:cNvPr id="52" name="TextBox 51">
          <a:extLst>
            <a:ext uri="{FF2B5EF4-FFF2-40B4-BE49-F238E27FC236}">
              <a16:creationId xmlns:a16="http://schemas.microsoft.com/office/drawing/2014/main" id="{00000000-0008-0000-0300-000034000000}"/>
            </a:ext>
          </a:extLst>
        </xdr:cNvPr>
        <xdr:cNvSpPr txBox="1"/>
      </xdr:nvSpPr>
      <xdr:spPr>
        <a:xfrm>
          <a:off x="12037219" y="7405687"/>
          <a:ext cx="2857501" cy="261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AR" sz="1100" b="1" cap="none" spc="0">
              <a:ln w="0"/>
              <a:solidFill>
                <a:schemeClr val="tx1"/>
              </a:solidFill>
              <a:effectLst>
                <a:outerShdw blurRad="38100" dist="19050" dir="2700000" algn="tl" rotWithShape="0">
                  <a:schemeClr val="dk1">
                    <a:alpha val="40000"/>
                  </a:schemeClr>
                </a:outerShdw>
              </a:effectLst>
            </a:rPr>
            <a:t>Amortizaciones</a:t>
          </a:r>
          <a:r>
            <a:rPr lang="es-AR" sz="1100" b="1" cap="none" spc="0" baseline="0">
              <a:ln w="0"/>
              <a:solidFill>
                <a:schemeClr val="tx1"/>
              </a:solidFill>
              <a:effectLst>
                <a:outerShdw blurRad="38100" dist="19050" dir="2700000" algn="tl" rotWithShape="0">
                  <a:schemeClr val="dk1">
                    <a:alpha val="40000"/>
                  </a:schemeClr>
                </a:outerShdw>
              </a:effectLst>
            </a:rPr>
            <a:t> / EBITDA</a:t>
          </a:r>
          <a:endParaRPr lang="es-AR" sz="1100" b="1"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12</xdr:col>
      <xdr:colOff>214313</xdr:colOff>
      <xdr:row>36</xdr:row>
      <xdr:rowOff>190499</xdr:rowOff>
    </xdr:from>
    <xdr:to>
      <xdr:col>16</xdr:col>
      <xdr:colOff>23814</xdr:colOff>
      <xdr:row>38</xdr:row>
      <xdr:rowOff>47625</xdr:rowOff>
    </xdr:to>
    <xdr:sp macro="" textlink="">
      <xdr:nvSpPr>
        <xdr:cNvPr id="53" name="TextBox 52">
          <a:extLst>
            <a:ext uri="{FF2B5EF4-FFF2-40B4-BE49-F238E27FC236}">
              <a16:creationId xmlns:a16="http://schemas.microsoft.com/office/drawing/2014/main" id="{00000000-0008-0000-0300-000035000000}"/>
            </a:ext>
          </a:extLst>
        </xdr:cNvPr>
        <xdr:cNvSpPr txBox="1"/>
      </xdr:nvSpPr>
      <xdr:spPr>
        <a:xfrm>
          <a:off x="12037219" y="7596187"/>
          <a:ext cx="2857501" cy="261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AR" sz="1100" b="1" cap="none" spc="0">
              <a:ln w="0"/>
              <a:solidFill>
                <a:schemeClr val="tx1"/>
              </a:solidFill>
              <a:effectLst>
                <a:outerShdw blurRad="38100" dist="19050" dir="2700000" algn="tl" rotWithShape="0">
                  <a:schemeClr val="dk1">
                    <a:alpha val="40000"/>
                  </a:schemeClr>
                </a:outerShdw>
              </a:effectLst>
            </a:rPr>
            <a:t>Intereses</a:t>
          </a:r>
          <a:r>
            <a:rPr lang="es-AR" sz="1100" b="1" cap="none" spc="0" baseline="0">
              <a:ln w="0"/>
              <a:solidFill>
                <a:schemeClr val="tx1"/>
              </a:solidFill>
              <a:effectLst>
                <a:outerShdw blurRad="38100" dist="19050" dir="2700000" algn="tl" rotWithShape="0">
                  <a:schemeClr val="dk1">
                    <a:alpha val="40000"/>
                  </a:schemeClr>
                </a:outerShdw>
              </a:effectLst>
            </a:rPr>
            <a:t> / BAII</a:t>
          </a:r>
          <a:endParaRPr lang="es-AR" sz="1100" b="1"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12</xdr:col>
      <xdr:colOff>214313</xdr:colOff>
      <xdr:row>37</xdr:row>
      <xdr:rowOff>190500</xdr:rowOff>
    </xdr:from>
    <xdr:to>
      <xdr:col>16</xdr:col>
      <xdr:colOff>23814</xdr:colOff>
      <xdr:row>39</xdr:row>
      <xdr:rowOff>47626</xdr:rowOff>
    </xdr:to>
    <xdr:sp macro="" textlink="">
      <xdr:nvSpPr>
        <xdr:cNvPr id="54" name="TextBox 53">
          <a:extLst>
            <a:ext uri="{FF2B5EF4-FFF2-40B4-BE49-F238E27FC236}">
              <a16:creationId xmlns:a16="http://schemas.microsoft.com/office/drawing/2014/main" id="{00000000-0008-0000-0300-000036000000}"/>
            </a:ext>
          </a:extLst>
        </xdr:cNvPr>
        <xdr:cNvSpPr txBox="1"/>
      </xdr:nvSpPr>
      <xdr:spPr>
        <a:xfrm>
          <a:off x="12037219" y="7798594"/>
          <a:ext cx="2857501" cy="261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AR" sz="1100" b="1" cap="none" spc="0">
              <a:ln w="0"/>
              <a:solidFill>
                <a:schemeClr val="tx1"/>
              </a:solidFill>
              <a:effectLst>
                <a:outerShdw blurRad="38100" dist="19050" dir="2700000" algn="tl" rotWithShape="0">
                  <a:schemeClr val="dk1">
                    <a:alpha val="40000"/>
                  </a:schemeClr>
                </a:outerShdw>
              </a:effectLst>
            </a:rPr>
            <a:t>Beneficio</a:t>
          </a:r>
          <a:r>
            <a:rPr lang="es-AR" sz="1100" b="1" cap="none" spc="0" baseline="0">
              <a:ln w="0"/>
              <a:solidFill>
                <a:schemeClr val="tx1"/>
              </a:solidFill>
              <a:effectLst>
                <a:outerShdw blurRad="38100" dist="19050" dir="2700000" algn="tl" rotWithShape="0">
                  <a:schemeClr val="dk1">
                    <a:alpha val="40000"/>
                  </a:schemeClr>
                </a:outerShdw>
              </a:effectLst>
            </a:rPr>
            <a:t> Neto / BAII</a:t>
          </a:r>
          <a:endParaRPr lang="es-AR" sz="1100" b="1"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12</xdr:col>
      <xdr:colOff>214313</xdr:colOff>
      <xdr:row>38</xdr:row>
      <xdr:rowOff>178594</xdr:rowOff>
    </xdr:from>
    <xdr:to>
      <xdr:col>16</xdr:col>
      <xdr:colOff>23814</xdr:colOff>
      <xdr:row>40</xdr:row>
      <xdr:rowOff>35719</xdr:rowOff>
    </xdr:to>
    <xdr:sp macro="" textlink="">
      <xdr:nvSpPr>
        <xdr:cNvPr id="55" name="TextBox 54">
          <a:extLst>
            <a:ext uri="{FF2B5EF4-FFF2-40B4-BE49-F238E27FC236}">
              <a16:creationId xmlns:a16="http://schemas.microsoft.com/office/drawing/2014/main" id="{00000000-0008-0000-0300-000037000000}"/>
            </a:ext>
          </a:extLst>
        </xdr:cNvPr>
        <xdr:cNvSpPr txBox="1"/>
      </xdr:nvSpPr>
      <xdr:spPr>
        <a:xfrm>
          <a:off x="12037219" y="7989094"/>
          <a:ext cx="2857501" cy="261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AR" sz="1100" b="1" cap="none" spc="0">
              <a:ln w="0"/>
              <a:solidFill>
                <a:schemeClr val="tx1"/>
              </a:solidFill>
              <a:effectLst>
                <a:outerShdw blurRad="38100" dist="19050" dir="2700000" algn="tl" rotWithShape="0">
                  <a:schemeClr val="dk1">
                    <a:alpha val="40000"/>
                  </a:schemeClr>
                </a:outerShdw>
              </a:effectLst>
            </a:rPr>
            <a:t>Retiros / Intereses</a:t>
          </a:r>
        </a:p>
      </xdr:txBody>
    </xdr:sp>
    <xdr:clientData/>
  </xdr:twoCellAnchor>
  <xdr:twoCellAnchor>
    <xdr:from>
      <xdr:col>12</xdr:col>
      <xdr:colOff>214313</xdr:colOff>
      <xdr:row>39</xdr:row>
      <xdr:rowOff>190500</xdr:rowOff>
    </xdr:from>
    <xdr:to>
      <xdr:col>16</xdr:col>
      <xdr:colOff>23814</xdr:colOff>
      <xdr:row>41</xdr:row>
      <xdr:rowOff>47625</xdr:rowOff>
    </xdr:to>
    <xdr:sp macro="" textlink="">
      <xdr:nvSpPr>
        <xdr:cNvPr id="56" name="TextBox 55">
          <a:extLst>
            <a:ext uri="{FF2B5EF4-FFF2-40B4-BE49-F238E27FC236}">
              <a16:creationId xmlns:a16="http://schemas.microsoft.com/office/drawing/2014/main" id="{00000000-0008-0000-0300-000038000000}"/>
            </a:ext>
          </a:extLst>
        </xdr:cNvPr>
        <xdr:cNvSpPr txBox="1"/>
      </xdr:nvSpPr>
      <xdr:spPr>
        <a:xfrm>
          <a:off x="12037219" y="8203406"/>
          <a:ext cx="2857501" cy="261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AR" sz="1100" b="1" cap="none" spc="0">
              <a:ln w="0"/>
              <a:solidFill>
                <a:schemeClr val="tx1"/>
              </a:solidFill>
              <a:effectLst>
                <a:outerShdw blurRad="38100" dist="19050" dir="2700000" algn="tl" rotWithShape="0">
                  <a:schemeClr val="dk1">
                    <a:alpha val="40000"/>
                  </a:schemeClr>
                </a:outerShdw>
              </a:effectLst>
            </a:rPr>
            <a:t>Presión Fiscal / BAII</a:t>
          </a:r>
        </a:p>
      </xdr:txBody>
    </xdr:sp>
    <xdr:clientData/>
  </xdr:twoCellAnchor>
  <xdr:twoCellAnchor>
    <xdr:from>
      <xdr:col>12</xdr:col>
      <xdr:colOff>214313</xdr:colOff>
      <xdr:row>40</xdr:row>
      <xdr:rowOff>190499</xdr:rowOff>
    </xdr:from>
    <xdr:to>
      <xdr:col>16</xdr:col>
      <xdr:colOff>23814</xdr:colOff>
      <xdr:row>42</xdr:row>
      <xdr:rowOff>47625</xdr:rowOff>
    </xdr:to>
    <xdr:sp macro="" textlink="">
      <xdr:nvSpPr>
        <xdr:cNvPr id="57" name="TextBox 56">
          <a:extLst>
            <a:ext uri="{FF2B5EF4-FFF2-40B4-BE49-F238E27FC236}">
              <a16:creationId xmlns:a16="http://schemas.microsoft.com/office/drawing/2014/main" id="{00000000-0008-0000-0300-000039000000}"/>
            </a:ext>
          </a:extLst>
        </xdr:cNvPr>
        <xdr:cNvSpPr txBox="1"/>
      </xdr:nvSpPr>
      <xdr:spPr>
        <a:xfrm>
          <a:off x="12037219" y="8405812"/>
          <a:ext cx="2857501" cy="261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AR" sz="1100" b="1" cap="none" spc="0">
              <a:ln w="0"/>
              <a:solidFill>
                <a:schemeClr val="tx1"/>
              </a:solidFill>
              <a:effectLst>
                <a:outerShdw blurRad="38100" dist="19050" dir="2700000" algn="tl" rotWithShape="0">
                  <a:schemeClr val="dk1">
                    <a:alpha val="40000"/>
                  </a:schemeClr>
                </a:outerShdw>
              </a:effectLst>
            </a:rPr>
            <a:t>Presión de</a:t>
          </a:r>
          <a:r>
            <a:rPr lang="es-AR" sz="1100" b="1" cap="none" spc="0" baseline="0">
              <a:ln w="0"/>
              <a:solidFill>
                <a:schemeClr val="tx1"/>
              </a:solidFill>
              <a:effectLst>
                <a:outerShdw blurRad="38100" dist="19050" dir="2700000" algn="tl" rotWithShape="0">
                  <a:schemeClr val="dk1">
                    <a:alpha val="40000"/>
                  </a:schemeClr>
                </a:outerShdw>
              </a:effectLst>
            </a:rPr>
            <a:t> los Accionistas</a:t>
          </a:r>
          <a:endParaRPr lang="es-AR" sz="1100" b="1"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12</xdr:col>
      <xdr:colOff>128583</xdr:colOff>
      <xdr:row>29</xdr:row>
      <xdr:rowOff>176210</xdr:rowOff>
    </xdr:from>
    <xdr:to>
      <xdr:col>16</xdr:col>
      <xdr:colOff>95246</xdr:colOff>
      <xdr:row>31</xdr:row>
      <xdr:rowOff>35719</xdr:rowOff>
    </xdr:to>
    <xdr:sp macro="" textlink="">
      <xdr:nvSpPr>
        <xdr:cNvPr id="48" name="TextBox 47">
          <a:extLst>
            <a:ext uri="{FF2B5EF4-FFF2-40B4-BE49-F238E27FC236}">
              <a16:creationId xmlns:a16="http://schemas.microsoft.com/office/drawing/2014/main" id="{00000000-0008-0000-0300-000030000000}"/>
            </a:ext>
          </a:extLst>
        </xdr:cNvPr>
        <xdr:cNvSpPr txBox="1"/>
      </xdr:nvSpPr>
      <xdr:spPr>
        <a:xfrm>
          <a:off x="12332489" y="6212679"/>
          <a:ext cx="3014663" cy="300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AR" sz="1200" b="1"/>
            <a:t>DISTRIBUCIÓN DE</a:t>
          </a:r>
          <a:r>
            <a:rPr lang="es-AR" sz="1200" b="1" baseline="0"/>
            <a:t> LOS RESULTADOS</a:t>
          </a:r>
          <a:endParaRPr lang="es-AR" sz="1200" b="1"/>
        </a:p>
      </xdr:txBody>
    </xdr:sp>
    <xdr:clientData/>
  </xdr:twoCellAnchor>
  <mc:AlternateContent xmlns:mc="http://schemas.openxmlformats.org/markup-compatibility/2006">
    <mc:Choice xmlns:a14="http://schemas.microsoft.com/office/drawing/2010/main" Requires="a14">
      <xdr:twoCellAnchor editAs="oneCell">
        <xdr:from>
          <xdr:col>5</xdr:col>
          <xdr:colOff>19050</xdr:colOff>
          <xdr:row>10</xdr:row>
          <xdr:rowOff>9525</xdr:rowOff>
        </xdr:from>
        <xdr:to>
          <xdr:col>6</xdr:col>
          <xdr:colOff>295275</xdr:colOff>
          <xdr:row>11</xdr:row>
          <xdr:rowOff>76200</xdr:rowOff>
        </xdr:to>
        <xdr:sp macro="" textlink="">
          <xdr:nvSpPr>
            <xdr:cNvPr id="6147" name="Scroll Bar 3" hidden="1">
              <a:extLst>
                <a:ext uri="{63B3BB69-23CF-44E3-9099-C40C66FF867C}">
                  <a14:compatExt spid="_x0000_s6147"/>
                </a:ext>
                <a:ext uri="{FF2B5EF4-FFF2-40B4-BE49-F238E27FC236}">
                  <a16:creationId xmlns:a16="http://schemas.microsoft.com/office/drawing/2014/main" id="{00000000-0008-0000-0300-000003180000}"/>
                </a:ext>
              </a:extLst>
            </xdr:cNvPr>
            <xdr:cNvSpPr/>
          </xdr:nvSpPr>
          <xdr:spPr bwMode="auto">
            <a:xfrm>
              <a:off x="0" y="0"/>
              <a:ext cx="0" cy="0"/>
            </a:xfrm>
            <a:prstGeom prst="rect">
              <a:avLst/>
            </a:prstGeom>
            <a:noFill/>
            <a:ln w="9525">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11</xdr:row>
          <xdr:rowOff>9525</xdr:rowOff>
        </xdr:from>
        <xdr:to>
          <xdr:col>6</xdr:col>
          <xdr:colOff>295275</xdr:colOff>
          <xdr:row>12</xdr:row>
          <xdr:rowOff>76200</xdr:rowOff>
        </xdr:to>
        <xdr:sp macro="" textlink="">
          <xdr:nvSpPr>
            <xdr:cNvPr id="6154" name="Scroll Bar 10" hidden="1">
              <a:extLst>
                <a:ext uri="{63B3BB69-23CF-44E3-9099-C40C66FF867C}">
                  <a14:compatExt spid="_x0000_s6154"/>
                </a:ext>
                <a:ext uri="{FF2B5EF4-FFF2-40B4-BE49-F238E27FC236}">
                  <a16:creationId xmlns:a16="http://schemas.microsoft.com/office/drawing/2014/main" id="{00000000-0008-0000-0300-00000A180000}"/>
                </a:ext>
              </a:extLst>
            </xdr:cNvPr>
            <xdr:cNvSpPr/>
          </xdr:nvSpPr>
          <xdr:spPr bwMode="auto">
            <a:xfrm>
              <a:off x="0" y="0"/>
              <a:ext cx="0" cy="0"/>
            </a:xfrm>
            <a:prstGeom prst="rect">
              <a:avLst/>
            </a:prstGeom>
            <a:noFill/>
            <a:ln w="9525">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xdr:row>
          <xdr:rowOff>19050</xdr:rowOff>
        </xdr:from>
        <xdr:to>
          <xdr:col>6</xdr:col>
          <xdr:colOff>304800</xdr:colOff>
          <xdr:row>13</xdr:row>
          <xdr:rowOff>85725</xdr:rowOff>
        </xdr:to>
        <xdr:sp macro="" textlink="">
          <xdr:nvSpPr>
            <xdr:cNvPr id="6155" name="Scroll Bar 11" hidden="1">
              <a:extLst>
                <a:ext uri="{63B3BB69-23CF-44E3-9099-C40C66FF867C}">
                  <a14:compatExt spid="_x0000_s6155"/>
                </a:ext>
                <a:ext uri="{FF2B5EF4-FFF2-40B4-BE49-F238E27FC236}">
                  <a16:creationId xmlns:a16="http://schemas.microsoft.com/office/drawing/2014/main" id="{00000000-0008-0000-0300-00000B180000}"/>
                </a:ext>
              </a:extLst>
            </xdr:cNvPr>
            <xdr:cNvSpPr/>
          </xdr:nvSpPr>
          <xdr:spPr bwMode="auto">
            <a:xfrm>
              <a:off x="0" y="0"/>
              <a:ext cx="0" cy="0"/>
            </a:xfrm>
            <a:prstGeom prst="rect">
              <a:avLst/>
            </a:prstGeom>
            <a:noFill/>
            <a:ln w="9525">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1019175</xdr:colOff>
          <xdr:row>13</xdr:row>
          <xdr:rowOff>47625</xdr:rowOff>
        </xdr:from>
        <xdr:to>
          <xdr:col>6</xdr:col>
          <xdr:colOff>276225</xdr:colOff>
          <xdr:row>14</xdr:row>
          <xdr:rowOff>104775</xdr:rowOff>
        </xdr:to>
        <xdr:sp macro="" textlink="">
          <xdr:nvSpPr>
            <xdr:cNvPr id="6156" name="Scroll Bar 12" hidden="1">
              <a:extLst>
                <a:ext uri="{63B3BB69-23CF-44E3-9099-C40C66FF867C}">
                  <a14:compatExt spid="_x0000_s6156"/>
                </a:ext>
                <a:ext uri="{FF2B5EF4-FFF2-40B4-BE49-F238E27FC236}">
                  <a16:creationId xmlns:a16="http://schemas.microsoft.com/office/drawing/2014/main" id="{00000000-0008-0000-0300-00000C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xdr:row>
          <xdr:rowOff>9525</xdr:rowOff>
        </xdr:from>
        <xdr:to>
          <xdr:col>6</xdr:col>
          <xdr:colOff>295275</xdr:colOff>
          <xdr:row>14</xdr:row>
          <xdr:rowOff>76200</xdr:rowOff>
        </xdr:to>
        <xdr:sp macro="" textlink="">
          <xdr:nvSpPr>
            <xdr:cNvPr id="6157" name="Scroll Bar 13" hidden="1">
              <a:extLst>
                <a:ext uri="{63B3BB69-23CF-44E3-9099-C40C66FF867C}">
                  <a14:compatExt spid="_x0000_s6157"/>
                </a:ext>
                <a:ext uri="{FF2B5EF4-FFF2-40B4-BE49-F238E27FC236}">
                  <a16:creationId xmlns:a16="http://schemas.microsoft.com/office/drawing/2014/main" id="{00000000-0008-0000-0300-00000D180000}"/>
                </a:ext>
              </a:extLst>
            </xdr:cNvPr>
            <xdr:cNvSpPr/>
          </xdr:nvSpPr>
          <xdr:spPr bwMode="auto">
            <a:xfrm>
              <a:off x="0" y="0"/>
              <a:ext cx="0" cy="0"/>
            </a:xfrm>
            <a:prstGeom prst="rect">
              <a:avLst/>
            </a:prstGeom>
            <a:noFill/>
            <a:ln w="9525">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14</xdr:row>
          <xdr:rowOff>9525</xdr:rowOff>
        </xdr:from>
        <xdr:to>
          <xdr:col>6</xdr:col>
          <xdr:colOff>295275</xdr:colOff>
          <xdr:row>15</xdr:row>
          <xdr:rowOff>76200</xdr:rowOff>
        </xdr:to>
        <xdr:sp macro="" textlink="">
          <xdr:nvSpPr>
            <xdr:cNvPr id="6158" name="Scroll Bar 14" hidden="1">
              <a:extLst>
                <a:ext uri="{63B3BB69-23CF-44E3-9099-C40C66FF867C}">
                  <a14:compatExt spid="_x0000_s6158"/>
                </a:ext>
                <a:ext uri="{FF2B5EF4-FFF2-40B4-BE49-F238E27FC236}">
                  <a16:creationId xmlns:a16="http://schemas.microsoft.com/office/drawing/2014/main" id="{00000000-0008-0000-0300-00000E180000}"/>
                </a:ext>
              </a:extLst>
            </xdr:cNvPr>
            <xdr:cNvSpPr/>
          </xdr:nvSpPr>
          <xdr:spPr bwMode="auto">
            <a:xfrm>
              <a:off x="0" y="0"/>
              <a:ext cx="0" cy="0"/>
            </a:xfrm>
            <a:prstGeom prst="rect">
              <a:avLst/>
            </a:prstGeom>
            <a:noFill/>
            <a:ln w="9525">
              <a:miter lim="800000"/>
              <a:headEnd/>
              <a:tailEnd/>
            </a:ln>
          </xdr:spPr>
        </xdr:sp>
        <xdr:clientData fLocksWithSheet="0"/>
      </xdr:twoCellAnchor>
    </mc:Choice>
    <mc:Fallback/>
  </mc:AlternateContent>
  <xdr:twoCellAnchor>
    <xdr:from>
      <xdr:col>12</xdr:col>
      <xdr:colOff>440531</xdr:colOff>
      <xdr:row>8</xdr:row>
      <xdr:rowOff>154781</xdr:rowOff>
    </xdr:from>
    <xdr:to>
      <xdr:col>14</xdr:col>
      <xdr:colOff>11906</xdr:colOff>
      <xdr:row>11</xdr:row>
      <xdr:rowOff>23813</xdr:rowOff>
    </xdr:to>
    <xdr:sp macro="" textlink="'Indicadores Empresariales'!C19">
      <xdr:nvSpPr>
        <xdr:cNvPr id="4" name="Rounded Rectangle 3">
          <a:extLst>
            <a:ext uri="{FF2B5EF4-FFF2-40B4-BE49-F238E27FC236}">
              <a16:creationId xmlns:a16="http://schemas.microsoft.com/office/drawing/2014/main" id="{00000000-0008-0000-0300-000004000000}"/>
            </a:ext>
          </a:extLst>
        </xdr:cNvPr>
        <xdr:cNvSpPr/>
      </xdr:nvSpPr>
      <xdr:spPr>
        <a:xfrm>
          <a:off x="12644437" y="1964531"/>
          <a:ext cx="1095375" cy="45243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7CA1D70F-9DE1-4092-BC60-E5C2E2FDFDEC}" type="TxLink">
            <a:rPr lang="en-US" sz="1400" b="1" i="0" u="none" strike="noStrike">
              <a:solidFill>
                <a:schemeClr val="bg1"/>
              </a:solidFill>
              <a:latin typeface="Calibri"/>
              <a:cs typeface="Calibri"/>
            </a:rPr>
            <a:pPr algn="ctr"/>
            <a:t>-3,94%</a:t>
          </a:fld>
          <a:endParaRPr lang="es-AR" sz="1400" b="1">
            <a:solidFill>
              <a:schemeClr val="bg1"/>
            </a:solidFill>
          </a:endParaRPr>
        </a:p>
      </xdr:txBody>
    </xdr:sp>
    <xdr:clientData/>
  </xdr:twoCellAnchor>
  <xdr:twoCellAnchor>
    <xdr:from>
      <xdr:col>12</xdr:col>
      <xdr:colOff>450059</xdr:colOff>
      <xdr:row>13</xdr:row>
      <xdr:rowOff>80959</xdr:rowOff>
    </xdr:from>
    <xdr:to>
      <xdr:col>14</xdr:col>
      <xdr:colOff>21434</xdr:colOff>
      <xdr:row>15</xdr:row>
      <xdr:rowOff>116678</xdr:rowOff>
    </xdr:to>
    <xdr:sp macro="" textlink="'Indicadores Empresariales'!C20">
      <xdr:nvSpPr>
        <xdr:cNvPr id="60" name="Rounded Rectangle 59">
          <a:extLst>
            <a:ext uri="{FF2B5EF4-FFF2-40B4-BE49-F238E27FC236}">
              <a16:creationId xmlns:a16="http://schemas.microsoft.com/office/drawing/2014/main" id="{00000000-0008-0000-0300-00003C000000}"/>
            </a:ext>
          </a:extLst>
        </xdr:cNvPr>
        <xdr:cNvSpPr/>
      </xdr:nvSpPr>
      <xdr:spPr>
        <a:xfrm>
          <a:off x="12653965" y="2902740"/>
          <a:ext cx="1095375" cy="45243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875CEA6A-3074-4010-9DA5-BF4B2DBBB5C8}" type="TxLink">
            <a:rPr lang="en-US" sz="1400" b="1" i="0" u="none" strike="noStrike">
              <a:solidFill>
                <a:schemeClr val="bg1"/>
              </a:solidFill>
              <a:latin typeface="Calibri"/>
              <a:cs typeface="Calibri"/>
            </a:rPr>
            <a:pPr algn="ctr"/>
            <a:t> 0,71 </a:t>
          </a:fld>
          <a:endParaRPr lang="es-AR" sz="1800" b="1">
            <a:solidFill>
              <a:schemeClr val="bg1"/>
            </a:solidFill>
          </a:endParaRPr>
        </a:p>
      </xdr:txBody>
    </xdr:sp>
    <xdr:clientData/>
  </xdr:twoCellAnchor>
  <xdr:twoCellAnchor>
    <xdr:from>
      <xdr:col>12</xdr:col>
      <xdr:colOff>459586</xdr:colOff>
      <xdr:row>17</xdr:row>
      <xdr:rowOff>78573</xdr:rowOff>
    </xdr:from>
    <xdr:to>
      <xdr:col>14</xdr:col>
      <xdr:colOff>30961</xdr:colOff>
      <xdr:row>19</xdr:row>
      <xdr:rowOff>138105</xdr:rowOff>
    </xdr:to>
    <xdr:sp macro="" textlink="'Indicadores Empresariales'!C21">
      <xdr:nvSpPr>
        <xdr:cNvPr id="61" name="Rounded Rectangle 60">
          <a:extLst>
            <a:ext uri="{FF2B5EF4-FFF2-40B4-BE49-F238E27FC236}">
              <a16:creationId xmlns:a16="http://schemas.microsoft.com/office/drawing/2014/main" id="{00000000-0008-0000-0300-00003D000000}"/>
            </a:ext>
          </a:extLst>
        </xdr:cNvPr>
        <xdr:cNvSpPr/>
      </xdr:nvSpPr>
      <xdr:spPr>
        <a:xfrm>
          <a:off x="12663492" y="3698073"/>
          <a:ext cx="1095375" cy="45243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F11CAA6E-A47B-46E4-847E-B61B087B3F22}" type="TxLink">
            <a:rPr lang="en-US" sz="1400" b="1" i="0" u="none" strike="noStrike">
              <a:solidFill>
                <a:schemeClr val="bg1"/>
              </a:solidFill>
              <a:latin typeface="Calibri"/>
              <a:cs typeface="Calibri"/>
            </a:rPr>
            <a:pPr algn="ctr"/>
            <a:t> 0,57 </a:t>
          </a:fld>
          <a:endParaRPr lang="es-AR" sz="2400" b="1">
            <a:solidFill>
              <a:schemeClr val="bg1"/>
            </a:solidFill>
          </a:endParaRPr>
        </a:p>
      </xdr:txBody>
    </xdr:sp>
    <xdr:clientData/>
  </xdr:twoCellAnchor>
  <xdr:twoCellAnchor>
    <xdr:from>
      <xdr:col>12</xdr:col>
      <xdr:colOff>481017</xdr:colOff>
      <xdr:row>21</xdr:row>
      <xdr:rowOff>64280</xdr:rowOff>
    </xdr:from>
    <xdr:to>
      <xdr:col>14</xdr:col>
      <xdr:colOff>52392</xdr:colOff>
      <xdr:row>23</xdr:row>
      <xdr:rowOff>135718</xdr:rowOff>
    </xdr:to>
    <xdr:sp macro="" textlink="'Indicadores Empresariales'!C22">
      <xdr:nvSpPr>
        <xdr:cNvPr id="62" name="Rounded Rectangle 61">
          <a:extLst>
            <a:ext uri="{FF2B5EF4-FFF2-40B4-BE49-F238E27FC236}">
              <a16:creationId xmlns:a16="http://schemas.microsoft.com/office/drawing/2014/main" id="{00000000-0008-0000-0300-00003E000000}"/>
            </a:ext>
          </a:extLst>
        </xdr:cNvPr>
        <xdr:cNvSpPr/>
      </xdr:nvSpPr>
      <xdr:spPr>
        <a:xfrm>
          <a:off x="12684923" y="4457686"/>
          <a:ext cx="1095375" cy="45243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E2292669-3923-4FAF-A958-EBF76FCB3276}" type="TxLink">
            <a:rPr lang="en-US" sz="1400" b="1" i="0" u="none" strike="noStrike">
              <a:solidFill>
                <a:schemeClr val="bg1"/>
              </a:solidFill>
              <a:latin typeface="Calibri"/>
              <a:cs typeface="Calibri"/>
            </a:rPr>
            <a:pPr algn="ctr"/>
            <a:t> 6,13 </a:t>
          </a:fld>
          <a:endParaRPr lang="es-AR" sz="2400" b="1">
            <a:solidFill>
              <a:schemeClr val="bg1"/>
            </a:solidFill>
          </a:endParaRPr>
        </a:p>
      </xdr:txBody>
    </xdr:sp>
    <xdr:clientData/>
  </xdr:twoCellAnchor>
  <xdr:twoCellAnchor>
    <xdr:from>
      <xdr:col>12</xdr:col>
      <xdr:colOff>464344</xdr:colOff>
      <xdr:row>25</xdr:row>
      <xdr:rowOff>85711</xdr:rowOff>
    </xdr:from>
    <xdr:to>
      <xdr:col>14</xdr:col>
      <xdr:colOff>59531</xdr:colOff>
      <xdr:row>27</xdr:row>
      <xdr:rowOff>119062</xdr:rowOff>
    </xdr:to>
    <xdr:sp macro="" textlink="'Indicadores Empresariales'!C23">
      <xdr:nvSpPr>
        <xdr:cNvPr id="63" name="Rounded Rectangle 62">
          <a:extLst>
            <a:ext uri="{FF2B5EF4-FFF2-40B4-BE49-F238E27FC236}">
              <a16:creationId xmlns:a16="http://schemas.microsoft.com/office/drawing/2014/main" id="{00000000-0008-0000-0300-00003F000000}"/>
            </a:ext>
          </a:extLst>
        </xdr:cNvPr>
        <xdr:cNvSpPr/>
      </xdr:nvSpPr>
      <xdr:spPr>
        <a:xfrm>
          <a:off x="12668250" y="5241117"/>
          <a:ext cx="1119187" cy="41435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ED0EA3E3-09C9-4584-AACC-499421384DE3}" type="TxLink">
            <a:rPr lang="en-US" sz="1400" b="1" i="0" u="none" strike="noStrike">
              <a:solidFill>
                <a:schemeClr val="bg1"/>
              </a:solidFill>
              <a:latin typeface="Calibri"/>
              <a:cs typeface="Calibri"/>
            </a:rPr>
            <a:pPr algn="ctr"/>
            <a:t>90%</a:t>
          </a:fld>
          <a:endParaRPr lang="es-AR" sz="2800" b="1">
            <a:solidFill>
              <a:schemeClr val="bg1"/>
            </a:solidFill>
          </a:endParaRPr>
        </a:p>
      </xdr:txBody>
    </xdr:sp>
    <xdr:clientData/>
  </xdr:twoCellAnchor>
  <xdr:twoCellAnchor>
    <xdr:from>
      <xdr:col>7</xdr:col>
      <xdr:colOff>869155</xdr:colOff>
      <xdr:row>16</xdr:row>
      <xdr:rowOff>142873</xdr:rowOff>
    </xdr:from>
    <xdr:to>
      <xdr:col>10</xdr:col>
      <xdr:colOff>666749</xdr:colOff>
      <xdr:row>17</xdr:row>
      <xdr:rowOff>180973</xdr:rowOff>
    </xdr:to>
    <xdr:sp macro="" textlink="">
      <xdr:nvSpPr>
        <xdr:cNvPr id="64" name="TextBox 63">
          <a:extLst>
            <a:ext uri="{FF2B5EF4-FFF2-40B4-BE49-F238E27FC236}">
              <a16:creationId xmlns:a16="http://schemas.microsoft.com/office/drawing/2014/main" id="{00000000-0008-0000-0300-000040000000}"/>
            </a:ext>
          </a:extLst>
        </xdr:cNvPr>
        <xdr:cNvSpPr txBox="1"/>
      </xdr:nvSpPr>
      <xdr:spPr>
        <a:xfrm>
          <a:off x="7846218" y="3488529"/>
          <a:ext cx="3119437" cy="2286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AR" sz="1000" b="1"/>
            <a:t>COBERTURA DE DEUDA DE CORTO PLAZO (%)</a:t>
          </a:r>
        </a:p>
        <a:p>
          <a:endParaRPr lang="es-AR" sz="1000" b="1"/>
        </a:p>
      </xdr:txBody>
    </xdr:sp>
    <xdr:clientData/>
  </xdr:twoCellAnchor>
  <xdr:twoCellAnchor>
    <xdr:from>
      <xdr:col>7</xdr:col>
      <xdr:colOff>869155</xdr:colOff>
      <xdr:row>17</xdr:row>
      <xdr:rowOff>152399</xdr:rowOff>
    </xdr:from>
    <xdr:to>
      <xdr:col>10</xdr:col>
      <xdr:colOff>666749</xdr:colOff>
      <xdr:row>18</xdr:row>
      <xdr:rowOff>190499</xdr:rowOff>
    </xdr:to>
    <xdr:sp macro="" textlink="">
      <xdr:nvSpPr>
        <xdr:cNvPr id="65" name="TextBox 64">
          <a:extLst>
            <a:ext uri="{FF2B5EF4-FFF2-40B4-BE49-F238E27FC236}">
              <a16:creationId xmlns:a16="http://schemas.microsoft.com/office/drawing/2014/main" id="{00000000-0008-0000-0300-000041000000}"/>
            </a:ext>
          </a:extLst>
        </xdr:cNvPr>
        <xdr:cNvSpPr txBox="1"/>
      </xdr:nvSpPr>
      <xdr:spPr>
        <a:xfrm>
          <a:off x="7846218" y="3688555"/>
          <a:ext cx="3119437" cy="2286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AR" sz="1000" b="1"/>
            <a:t>INGRESO NETO/PASIVO CORRIENTE</a:t>
          </a:r>
        </a:p>
        <a:p>
          <a:endParaRPr lang="es-AR" sz="1000" b="1"/>
        </a:p>
      </xdr:txBody>
    </xdr:sp>
    <xdr:clientData/>
  </xdr:twoCellAnchor>
  <xdr:twoCellAnchor>
    <xdr:from>
      <xdr:col>7</xdr:col>
      <xdr:colOff>869155</xdr:colOff>
      <xdr:row>18</xdr:row>
      <xdr:rowOff>173831</xdr:rowOff>
    </xdr:from>
    <xdr:to>
      <xdr:col>10</xdr:col>
      <xdr:colOff>666749</xdr:colOff>
      <xdr:row>20</xdr:row>
      <xdr:rowOff>9524</xdr:rowOff>
    </xdr:to>
    <xdr:sp macro="" textlink="">
      <xdr:nvSpPr>
        <xdr:cNvPr id="66" name="TextBox 65">
          <a:extLst>
            <a:ext uri="{FF2B5EF4-FFF2-40B4-BE49-F238E27FC236}">
              <a16:creationId xmlns:a16="http://schemas.microsoft.com/office/drawing/2014/main" id="{00000000-0008-0000-0300-000042000000}"/>
            </a:ext>
          </a:extLst>
        </xdr:cNvPr>
        <xdr:cNvSpPr txBox="1"/>
      </xdr:nvSpPr>
      <xdr:spPr>
        <a:xfrm>
          <a:off x="7846218" y="3900487"/>
          <a:ext cx="3119437" cy="2286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AR" sz="1000" b="1"/>
            <a:t>CONERTURA DE DEUDA</a:t>
          </a:r>
          <a:r>
            <a:rPr lang="es-AR" sz="1000" b="1" baseline="0"/>
            <a:t> TOTAL (%)</a:t>
          </a:r>
          <a:endParaRPr lang="es-AR" sz="1000" b="1"/>
        </a:p>
        <a:p>
          <a:endParaRPr lang="es-AR" sz="1000" b="1"/>
        </a:p>
      </xdr:txBody>
    </xdr:sp>
    <xdr:clientData/>
  </xdr:twoCellAnchor>
  <xdr:twoCellAnchor>
    <xdr:from>
      <xdr:col>7</xdr:col>
      <xdr:colOff>869155</xdr:colOff>
      <xdr:row>19</xdr:row>
      <xdr:rowOff>183357</xdr:rowOff>
    </xdr:from>
    <xdr:to>
      <xdr:col>10</xdr:col>
      <xdr:colOff>666749</xdr:colOff>
      <xdr:row>21</xdr:row>
      <xdr:rowOff>30957</xdr:rowOff>
    </xdr:to>
    <xdr:sp macro="" textlink="">
      <xdr:nvSpPr>
        <xdr:cNvPr id="67" name="TextBox 66">
          <a:extLst>
            <a:ext uri="{FF2B5EF4-FFF2-40B4-BE49-F238E27FC236}">
              <a16:creationId xmlns:a16="http://schemas.microsoft.com/office/drawing/2014/main" id="{00000000-0008-0000-0300-000043000000}"/>
            </a:ext>
          </a:extLst>
        </xdr:cNvPr>
        <xdr:cNvSpPr txBox="1"/>
      </xdr:nvSpPr>
      <xdr:spPr>
        <a:xfrm>
          <a:off x="7846218" y="4112420"/>
          <a:ext cx="3119437" cy="2286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AR" sz="1000" b="1"/>
            <a:t>AÑOS</a:t>
          </a:r>
          <a:r>
            <a:rPr lang="es-AR" sz="1000" b="1" baseline="0"/>
            <a:t> PARA DEVOLVER (EL TOTAL DEL PASIVO)</a:t>
          </a:r>
          <a:endParaRPr lang="es-AR" sz="1000" b="1"/>
        </a:p>
        <a:p>
          <a:endParaRPr lang="es-AR" sz="1000" b="1"/>
        </a:p>
      </xdr:txBody>
    </xdr:sp>
    <xdr:clientData/>
  </xdr:twoCellAnchor>
  <xdr:twoCellAnchor>
    <xdr:from>
      <xdr:col>7</xdr:col>
      <xdr:colOff>869155</xdr:colOff>
      <xdr:row>21</xdr:row>
      <xdr:rowOff>26195</xdr:rowOff>
    </xdr:from>
    <xdr:to>
      <xdr:col>10</xdr:col>
      <xdr:colOff>666749</xdr:colOff>
      <xdr:row>22</xdr:row>
      <xdr:rowOff>64295</xdr:rowOff>
    </xdr:to>
    <xdr:sp macro="" textlink="">
      <xdr:nvSpPr>
        <xdr:cNvPr id="68" name="TextBox 67">
          <a:extLst>
            <a:ext uri="{FF2B5EF4-FFF2-40B4-BE49-F238E27FC236}">
              <a16:creationId xmlns:a16="http://schemas.microsoft.com/office/drawing/2014/main" id="{00000000-0008-0000-0300-000044000000}"/>
            </a:ext>
          </a:extLst>
        </xdr:cNvPr>
        <xdr:cNvSpPr txBox="1"/>
      </xdr:nvSpPr>
      <xdr:spPr>
        <a:xfrm>
          <a:off x="7846218" y="4336258"/>
          <a:ext cx="3119437" cy="2286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AR" sz="1000" b="1"/>
            <a:t>MÁXIMO PLAZO DEL MERCADO</a:t>
          </a:r>
          <a:r>
            <a:rPr lang="es-AR" sz="1000" b="1" baseline="0"/>
            <a:t> FINANCIERO</a:t>
          </a:r>
          <a:endParaRPr lang="es-AR" sz="1000" b="1"/>
        </a:p>
        <a:p>
          <a:endParaRPr lang="es-AR" sz="1000" b="1"/>
        </a:p>
      </xdr:txBody>
    </xdr:sp>
    <xdr:clientData/>
  </xdr:twoCellAnchor>
  <xdr:twoCellAnchor>
    <xdr:from>
      <xdr:col>7</xdr:col>
      <xdr:colOff>869155</xdr:colOff>
      <xdr:row>22</xdr:row>
      <xdr:rowOff>59526</xdr:rowOff>
    </xdr:from>
    <xdr:to>
      <xdr:col>10</xdr:col>
      <xdr:colOff>666749</xdr:colOff>
      <xdr:row>23</xdr:row>
      <xdr:rowOff>97626</xdr:rowOff>
    </xdr:to>
    <xdr:sp macro="" textlink="">
      <xdr:nvSpPr>
        <xdr:cNvPr id="69" name="TextBox 68">
          <a:extLst>
            <a:ext uri="{FF2B5EF4-FFF2-40B4-BE49-F238E27FC236}">
              <a16:creationId xmlns:a16="http://schemas.microsoft.com/office/drawing/2014/main" id="{00000000-0008-0000-0300-000045000000}"/>
            </a:ext>
          </a:extLst>
        </xdr:cNvPr>
        <xdr:cNvSpPr txBox="1"/>
      </xdr:nvSpPr>
      <xdr:spPr>
        <a:xfrm>
          <a:off x="7846218" y="4560089"/>
          <a:ext cx="3119437" cy="2286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AR" sz="1000" b="1"/>
            <a:t>MÁXIMO</a:t>
          </a:r>
          <a:r>
            <a:rPr lang="es-AR" sz="1000" b="1" baseline="0"/>
            <a:t> DEUDA POTENCIAL</a:t>
          </a:r>
          <a:endParaRPr lang="es-AR" sz="1000" b="1"/>
        </a:p>
        <a:p>
          <a:endParaRPr lang="es-AR" sz="1000" b="1"/>
        </a:p>
      </xdr:txBody>
    </xdr:sp>
    <xdr:clientData/>
  </xdr:twoCellAnchor>
  <xdr:twoCellAnchor>
    <xdr:from>
      <xdr:col>7</xdr:col>
      <xdr:colOff>869155</xdr:colOff>
      <xdr:row>23</xdr:row>
      <xdr:rowOff>69052</xdr:rowOff>
    </xdr:from>
    <xdr:to>
      <xdr:col>10</xdr:col>
      <xdr:colOff>666749</xdr:colOff>
      <xdr:row>24</xdr:row>
      <xdr:rowOff>107152</xdr:rowOff>
    </xdr:to>
    <xdr:sp macro="" textlink="">
      <xdr:nvSpPr>
        <xdr:cNvPr id="70" name="TextBox 69">
          <a:extLst>
            <a:ext uri="{FF2B5EF4-FFF2-40B4-BE49-F238E27FC236}">
              <a16:creationId xmlns:a16="http://schemas.microsoft.com/office/drawing/2014/main" id="{00000000-0008-0000-0300-000046000000}"/>
            </a:ext>
          </a:extLst>
        </xdr:cNvPr>
        <xdr:cNvSpPr txBox="1"/>
      </xdr:nvSpPr>
      <xdr:spPr>
        <a:xfrm>
          <a:off x="7846218" y="4760115"/>
          <a:ext cx="3119437" cy="2286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AR" sz="1000" b="1"/>
            <a:t>DEUDA ESTRUCTURAL</a:t>
          </a:r>
        </a:p>
        <a:p>
          <a:endParaRPr lang="es-AR" sz="1000" b="1"/>
        </a:p>
      </xdr:txBody>
    </xdr:sp>
    <xdr:clientData/>
  </xdr:twoCellAnchor>
  <xdr:twoCellAnchor>
    <xdr:from>
      <xdr:col>14</xdr:col>
      <xdr:colOff>440532</xdr:colOff>
      <xdr:row>27</xdr:row>
      <xdr:rowOff>119062</xdr:rowOff>
    </xdr:from>
    <xdr:to>
      <xdr:col>15</xdr:col>
      <xdr:colOff>261939</xdr:colOff>
      <xdr:row>28</xdr:row>
      <xdr:rowOff>130968</xdr:rowOff>
    </xdr:to>
    <xdr:sp macro="" textlink="">
      <xdr:nvSpPr>
        <xdr:cNvPr id="10" name="TextBox 9">
          <a:extLst>
            <a:ext uri="{FF2B5EF4-FFF2-40B4-BE49-F238E27FC236}">
              <a16:creationId xmlns:a16="http://schemas.microsoft.com/office/drawing/2014/main" id="{00000000-0008-0000-0300-00000A000000}"/>
            </a:ext>
          </a:extLst>
        </xdr:cNvPr>
        <xdr:cNvSpPr txBox="1"/>
      </xdr:nvSpPr>
      <xdr:spPr>
        <a:xfrm>
          <a:off x="14168438" y="5572125"/>
          <a:ext cx="583407" cy="2024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AR" sz="900" b="1"/>
            <a:t>DÉBIL</a:t>
          </a:r>
        </a:p>
      </xdr:txBody>
    </xdr:sp>
    <xdr:clientData/>
  </xdr:twoCellAnchor>
  <xdr:twoCellAnchor>
    <xdr:from>
      <xdr:col>15</xdr:col>
      <xdr:colOff>45245</xdr:colOff>
      <xdr:row>23</xdr:row>
      <xdr:rowOff>176213</xdr:rowOff>
    </xdr:from>
    <xdr:to>
      <xdr:col>15</xdr:col>
      <xdr:colOff>628652</xdr:colOff>
      <xdr:row>24</xdr:row>
      <xdr:rowOff>188119</xdr:rowOff>
    </xdr:to>
    <xdr:sp macro="" textlink="">
      <xdr:nvSpPr>
        <xdr:cNvPr id="71" name="TextBox 70">
          <a:extLst>
            <a:ext uri="{FF2B5EF4-FFF2-40B4-BE49-F238E27FC236}">
              <a16:creationId xmlns:a16="http://schemas.microsoft.com/office/drawing/2014/main" id="{00000000-0008-0000-0300-000047000000}"/>
            </a:ext>
          </a:extLst>
        </xdr:cNvPr>
        <xdr:cNvSpPr txBox="1"/>
      </xdr:nvSpPr>
      <xdr:spPr>
        <a:xfrm>
          <a:off x="14535151" y="4867276"/>
          <a:ext cx="583407" cy="2024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AR" sz="900" b="1"/>
            <a:t>MEDIO</a:t>
          </a:r>
        </a:p>
      </xdr:txBody>
    </xdr:sp>
    <xdr:clientData/>
  </xdr:twoCellAnchor>
  <xdr:twoCellAnchor>
    <xdr:from>
      <xdr:col>15</xdr:col>
      <xdr:colOff>483394</xdr:colOff>
      <xdr:row>27</xdr:row>
      <xdr:rowOff>150019</xdr:rowOff>
    </xdr:from>
    <xdr:to>
      <xdr:col>16</xdr:col>
      <xdr:colOff>304801</xdr:colOff>
      <xdr:row>28</xdr:row>
      <xdr:rowOff>161925</xdr:rowOff>
    </xdr:to>
    <xdr:sp macro="" textlink="">
      <xdr:nvSpPr>
        <xdr:cNvPr id="72" name="TextBox 71">
          <a:extLst>
            <a:ext uri="{FF2B5EF4-FFF2-40B4-BE49-F238E27FC236}">
              <a16:creationId xmlns:a16="http://schemas.microsoft.com/office/drawing/2014/main" id="{00000000-0008-0000-0300-000048000000}"/>
            </a:ext>
          </a:extLst>
        </xdr:cNvPr>
        <xdr:cNvSpPr txBox="1"/>
      </xdr:nvSpPr>
      <xdr:spPr>
        <a:xfrm>
          <a:off x="14973300" y="5603082"/>
          <a:ext cx="583407" cy="2024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AR" sz="900" b="1"/>
            <a:t>FUERTE</a:t>
          </a:r>
        </a:p>
      </xdr:txBody>
    </xdr:sp>
    <xdr:clientData/>
  </xdr:twoCellAnchor>
  <xdr:twoCellAnchor>
    <xdr:from>
      <xdr:col>14</xdr:col>
      <xdr:colOff>83344</xdr:colOff>
      <xdr:row>22</xdr:row>
      <xdr:rowOff>152400</xdr:rowOff>
    </xdr:from>
    <xdr:to>
      <xdr:col>15</xdr:col>
      <xdr:colOff>130969</xdr:colOff>
      <xdr:row>23</xdr:row>
      <xdr:rowOff>130967</xdr:rowOff>
    </xdr:to>
    <xdr:sp macro="" textlink="">
      <xdr:nvSpPr>
        <xdr:cNvPr id="73" name="TextBox 72">
          <a:extLst>
            <a:ext uri="{FF2B5EF4-FFF2-40B4-BE49-F238E27FC236}">
              <a16:creationId xmlns:a16="http://schemas.microsoft.com/office/drawing/2014/main" id="{00000000-0008-0000-0300-000049000000}"/>
            </a:ext>
          </a:extLst>
        </xdr:cNvPr>
        <xdr:cNvSpPr txBox="1"/>
      </xdr:nvSpPr>
      <xdr:spPr>
        <a:xfrm>
          <a:off x="13811250" y="4652963"/>
          <a:ext cx="809625" cy="1690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AR" sz="900" b="1"/>
            <a:t>INSOLVENTE</a:t>
          </a:r>
        </a:p>
      </xdr:txBody>
    </xdr:sp>
    <xdr:clientData/>
  </xdr:twoCellAnchor>
  <xdr:twoCellAnchor>
    <xdr:from>
      <xdr:col>15</xdr:col>
      <xdr:colOff>66677</xdr:colOff>
      <xdr:row>19</xdr:row>
      <xdr:rowOff>66676</xdr:rowOff>
    </xdr:from>
    <xdr:to>
      <xdr:col>15</xdr:col>
      <xdr:colOff>650084</xdr:colOff>
      <xdr:row>20</xdr:row>
      <xdr:rowOff>78582</xdr:rowOff>
    </xdr:to>
    <xdr:sp macro="" textlink="">
      <xdr:nvSpPr>
        <xdr:cNvPr id="74" name="TextBox 73">
          <a:extLst>
            <a:ext uri="{FF2B5EF4-FFF2-40B4-BE49-F238E27FC236}">
              <a16:creationId xmlns:a16="http://schemas.microsoft.com/office/drawing/2014/main" id="{00000000-0008-0000-0300-00004A000000}"/>
            </a:ext>
          </a:extLst>
        </xdr:cNvPr>
        <xdr:cNvSpPr txBox="1"/>
      </xdr:nvSpPr>
      <xdr:spPr>
        <a:xfrm>
          <a:off x="14556583" y="3995739"/>
          <a:ext cx="583407" cy="2024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AR" sz="900" b="1"/>
            <a:t>MEDIO</a:t>
          </a:r>
        </a:p>
      </xdr:txBody>
    </xdr:sp>
    <xdr:clientData/>
  </xdr:twoCellAnchor>
  <xdr:twoCellAnchor>
    <xdr:from>
      <xdr:col>15</xdr:col>
      <xdr:colOff>504826</xdr:colOff>
      <xdr:row>22</xdr:row>
      <xdr:rowOff>183356</xdr:rowOff>
    </xdr:from>
    <xdr:to>
      <xdr:col>16</xdr:col>
      <xdr:colOff>440532</xdr:colOff>
      <xdr:row>24</xdr:row>
      <xdr:rowOff>23812</xdr:rowOff>
    </xdr:to>
    <xdr:sp macro="" textlink="">
      <xdr:nvSpPr>
        <xdr:cNvPr id="75" name="TextBox 74">
          <a:extLst>
            <a:ext uri="{FF2B5EF4-FFF2-40B4-BE49-F238E27FC236}">
              <a16:creationId xmlns:a16="http://schemas.microsoft.com/office/drawing/2014/main" id="{00000000-0008-0000-0300-00004B000000}"/>
            </a:ext>
          </a:extLst>
        </xdr:cNvPr>
        <xdr:cNvSpPr txBox="1"/>
      </xdr:nvSpPr>
      <xdr:spPr>
        <a:xfrm>
          <a:off x="14994732" y="4683919"/>
          <a:ext cx="697706" cy="221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AR" sz="900" b="1"/>
            <a:t>SOLVENTE</a:t>
          </a:r>
        </a:p>
      </xdr:txBody>
    </xdr:sp>
    <xdr:clientData/>
  </xdr:twoCellAnchor>
  <xdr:twoCellAnchor>
    <xdr:from>
      <xdr:col>14</xdr:col>
      <xdr:colOff>83344</xdr:colOff>
      <xdr:row>18</xdr:row>
      <xdr:rowOff>161926</xdr:rowOff>
    </xdr:from>
    <xdr:to>
      <xdr:col>15</xdr:col>
      <xdr:colOff>140494</xdr:colOff>
      <xdr:row>19</xdr:row>
      <xdr:rowOff>166686</xdr:rowOff>
    </xdr:to>
    <xdr:sp macro="" textlink="">
      <xdr:nvSpPr>
        <xdr:cNvPr id="76" name="TextBox 75">
          <a:extLst>
            <a:ext uri="{FF2B5EF4-FFF2-40B4-BE49-F238E27FC236}">
              <a16:creationId xmlns:a16="http://schemas.microsoft.com/office/drawing/2014/main" id="{00000000-0008-0000-0300-00004C000000}"/>
            </a:ext>
          </a:extLst>
        </xdr:cNvPr>
        <xdr:cNvSpPr txBox="1"/>
      </xdr:nvSpPr>
      <xdr:spPr>
        <a:xfrm>
          <a:off x="13811250" y="3888582"/>
          <a:ext cx="819150" cy="2071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AR" sz="900" b="1"/>
            <a:t>SIN LIQUIDEZ</a:t>
          </a:r>
        </a:p>
      </xdr:txBody>
    </xdr:sp>
    <xdr:clientData/>
  </xdr:twoCellAnchor>
  <xdr:twoCellAnchor>
    <xdr:from>
      <xdr:col>15</xdr:col>
      <xdr:colOff>76202</xdr:colOff>
      <xdr:row>15</xdr:row>
      <xdr:rowOff>76202</xdr:rowOff>
    </xdr:from>
    <xdr:to>
      <xdr:col>15</xdr:col>
      <xdr:colOff>659609</xdr:colOff>
      <xdr:row>16</xdr:row>
      <xdr:rowOff>88108</xdr:rowOff>
    </xdr:to>
    <xdr:sp macro="" textlink="">
      <xdr:nvSpPr>
        <xdr:cNvPr id="77" name="TextBox 76">
          <a:extLst>
            <a:ext uri="{FF2B5EF4-FFF2-40B4-BE49-F238E27FC236}">
              <a16:creationId xmlns:a16="http://schemas.microsoft.com/office/drawing/2014/main" id="{00000000-0008-0000-0300-00004D000000}"/>
            </a:ext>
          </a:extLst>
        </xdr:cNvPr>
        <xdr:cNvSpPr txBox="1"/>
      </xdr:nvSpPr>
      <xdr:spPr>
        <a:xfrm>
          <a:off x="14566108" y="3231358"/>
          <a:ext cx="583407" cy="2024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AR" sz="900" b="1"/>
            <a:t>MEDIO</a:t>
          </a:r>
        </a:p>
      </xdr:txBody>
    </xdr:sp>
    <xdr:clientData/>
  </xdr:twoCellAnchor>
  <xdr:twoCellAnchor>
    <xdr:from>
      <xdr:col>15</xdr:col>
      <xdr:colOff>514351</xdr:colOff>
      <xdr:row>18</xdr:row>
      <xdr:rowOff>192882</xdr:rowOff>
    </xdr:from>
    <xdr:to>
      <xdr:col>16</xdr:col>
      <xdr:colOff>450057</xdr:colOff>
      <xdr:row>20</xdr:row>
      <xdr:rowOff>21431</xdr:rowOff>
    </xdr:to>
    <xdr:sp macro="" textlink="">
      <xdr:nvSpPr>
        <xdr:cNvPr id="78" name="TextBox 77">
          <a:extLst>
            <a:ext uri="{FF2B5EF4-FFF2-40B4-BE49-F238E27FC236}">
              <a16:creationId xmlns:a16="http://schemas.microsoft.com/office/drawing/2014/main" id="{00000000-0008-0000-0300-00004E000000}"/>
            </a:ext>
          </a:extLst>
        </xdr:cNvPr>
        <xdr:cNvSpPr txBox="1"/>
      </xdr:nvSpPr>
      <xdr:spPr>
        <a:xfrm>
          <a:off x="15004257" y="3919538"/>
          <a:ext cx="697706" cy="221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AR" sz="900" b="1"/>
            <a:t>LÍQUIDO</a:t>
          </a:r>
        </a:p>
      </xdr:txBody>
    </xdr:sp>
    <xdr:clientData/>
  </xdr:twoCellAnchor>
  <xdr:twoCellAnchor>
    <xdr:from>
      <xdr:col>14</xdr:col>
      <xdr:colOff>71438</xdr:colOff>
      <xdr:row>15</xdr:row>
      <xdr:rowOff>40483</xdr:rowOff>
    </xdr:from>
    <xdr:to>
      <xdr:col>15</xdr:col>
      <xdr:colOff>138113</xdr:colOff>
      <xdr:row>16</xdr:row>
      <xdr:rowOff>11906</xdr:rowOff>
    </xdr:to>
    <xdr:sp macro="" textlink="">
      <xdr:nvSpPr>
        <xdr:cNvPr id="79" name="TextBox 78">
          <a:extLst>
            <a:ext uri="{FF2B5EF4-FFF2-40B4-BE49-F238E27FC236}">
              <a16:creationId xmlns:a16="http://schemas.microsoft.com/office/drawing/2014/main" id="{00000000-0008-0000-0300-00004F000000}"/>
            </a:ext>
          </a:extLst>
        </xdr:cNvPr>
        <xdr:cNvSpPr txBox="1"/>
      </xdr:nvSpPr>
      <xdr:spPr>
        <a:xfrm>
          <a:off x="13799344" y="3195639"/>
          <a:ext cx="828675" cy="1619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AR" sz="900" b="1"/>
            <a:t>SIN LIQUIDEZ</a:t>
          </a:r>
        </a:p>
      </xdr:txBody>
    </xdr:sp>
    <xdr:clientData/>
  </xdr:twoCellAnchor>
  <xdr:twoCellAnchor>
    <xdr:from>
      <xdr:col>15</xdr:col>
      <xdr:colOff>73821</xdr:colOff>
      <xdr:row>11</xdr:row>
      <xdr:rowOff>109540</xdr:rowOff>
    </xdr:from>
    <xdr:to>
      <xdr:col>15</xdr:col>
      <xdr:colOff>657228</xdr:colOff>
      <xdr:row>12</xdr:row>
      <xdr:rowOff>121446</xdr:rowOff>
    </xdr:to>
    <xdr:sp macro="" textlink="">
      <xdr:nvSpPr>
        <xdr:cNvPr id="80" name="TextBox 79">
          <a:extLst>
            <a:ext uri="{FF2B5EF4-FFF2-40B4-BE49-F238E27FC236}">
              <a16:creationId xmlns:a16="http://schemas.microsoft.com/office/drawing/2014/main" id="{00000000-0008-0000-0300-000050000000}"/>
            </a:ext>
          </a:extLst>
        </xdr:cNvPr>
        <xdr:cNvSpPr txBox="1"/>
      </xdr:nvSpPr>
      <xdr:spPr>
        <a:xfrm>
          <a:off x="14563727" y="2502696"/>
          <a:ext cx="583407" cy="2024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AR" sz="900" b="1"/>
            <a:t>MEDIO</a:t>
          </a:r>
        </a:p>
      </xdr:txBody>
    </xdr:sp>
    <xdr:clientData/>
  </xdr:twoCellAnchor>
  <xdr:twoCellAnchor>
    <xdr:from>
      <xdr:col>15</xdr:col>
      <xdr:colOff>511970</xdr:colOff>
      <xdr:row>15</xdr:row>
      <xdr:rowOff>35720</xdr:rowOff>
    </xdr:from>
    <xdr:to>
      <xdr:col>16</xdr:col>
      <xdr:colOff>447676</xdr:colOff>
      <xdr:row>16</xdr:row>
      <xdr:rowOff>66676</xdr:rowOff>
    </xdr:to>
    <xdr:sp macro="" textlink="">
      <xdr:nvSpPr>
        <xdr:cNvPr id="81" name="TextBox 80">
          <a:extLst>
            <a:ext uri="{FF2B5EF4-FFF2-40B4-BE49-F238E27FC236}">
              <a16:creationId xmlns:a16="http://schemas.microsoft.com/office/drawing/2014/main" id="{00000000-0008-0000-0300-000051000000}"/>
            </a:ext>
          </a:extLst>
        </xdr:cNvPr>
        <xdr:cNvSpPr txBox="1"/>
      </xdr:nvSpPr>
      <xdr:spPr>
        <a:xfrm>
          <a:off x="15001876" y="3190876"/>
          <a:ext cx="697706" cy="221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AR" sz="900" b="1"/>
            <a:t>LÍQUIDO</a:t>
          </a:r>
        </a:p>
      </xdr:txBody>
    </xdr:sp>
    <xdr:clientData/>
  </xdr:twoCellAnchor>
  <xdr:twoCellAnchor>
    <xdr:from>
      <xdr:col>2</xdr:col>
      <xdr:colOff>459728</xdr:colOff>
      <xdr:row>21</xdr:row>
      <xdr:rowOff>172871</xdr:rowOff>
    </xdr:from>
    <xdr:to>
      <xdr:col>2</xdr:col>
      <xdr:colOff>586269</xdr:colOff>
      <xdr:row>23</xdr:row>
      <xdr:rowOff>27320</xdr:rowOff>
    </xdr:to>
    <xdr:sp macro="" textlink="">
      <xdr:nvSpPr>
        <xdr:cNvPr id="82" name="Up Arrow 13">
          <a:extLst>
            <a:ext uri="{FF2B5EF4-FFF2-40B4-BE49-F238E27FC236}">
              <a16:creationId xmlns:a16="http://schemas.microsoft.com/office/drawing/2014/main" id="{BFE60B70-9F4E-4390-A751-D1B50B7D9717}"/>
            </a:ext>
          </a:extLst>
        </xdr:cNvPr>
        <xdr:cNvSpPr/>
      </xdr:nvSpPr>
      <xdr:spPr>
        <a:xfrm>
          <a:off x="2174228" y="4482934"/>
          <a:ext cx="126541" cy="235449"/>
        </a:xfrm>
        <a:prstGeom prst="upArrow">
          <a:avLst/>
        </a:prstGeom>
        <a:solidFill>
          <a:schemeClr val="tx1"/>
        </a:solidFill>
        <a:ln>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AR" sz="1100"/>
        </a:p>
      </xdr:txBody>
    </xdr:sp>
    <xdr:clientData/>
  </xdr:twoCellAnchor>
  <xdr:twoCellAnchor>
    <xdr:from>
      <xdr:col>2</xdr:col>
      <xdr:colOff>617672</xdr:colOff>
      <xdr:row>21</xdr:row>
      <xdr:rowOff>185314</xdr:rowOff>
    </xdr:from>
    <xdr:to>
      <xdr:col>4</xdr:col>
      <xdr:colOff>858581</xdr:colOff>
      <xdr:row>23</xdr:row>
      <xdr:rowOff>50466</xdr:rowOff>
    </xdr:to>
    <xdr:sp macro="" textlink="">
      <xdr:nvSpPr>
        <xdr:cNvPr id="83" name="TextBox 82">
          <a:extLst>
            <a:ext uri="{FF2B5EF4-FFF2-40B4-BE49-F238E27FC236}">
              <a16:creationId xmlns:a16="http://schemas.microsoft.com/office/drawing/2014/main" id="{236AA00F-1875-49B1-97BE-417CB6C910EF}"/>
            </a:ext>
          </a:extLst>
        </xdr:cNvPr>
        <xdr:cNvSpPr txBox="1"/>
      </xdr:nvSpPr>
      <xdr:spPr>
        <a:xfrm>
          <a:off x="2332172" y="4495377"/>
          <a:ext cx="1836347" cy="24615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AR" sz="1100" b="0"/>
            <a:t>Rentabilidad</a:t>
          </a:r>
          <a:r>
            <a:rPr lang="es-AR" sz="1100" b="0" baseline="0"/>
            <a:t> Marginal</a:t>
          </a:r>
          <a:endParaRPr lang="es-AR" sz="11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9.xml"/><Relationship Id="rId11" Type="http://schemas.openxmlformats.org/officeDocument/2006/relationships/ctrlProp" Target="../ctrlProps/ctrlProp14.xml"/><Relationship Id="rId5" Type="http://schemas.openxmlformats.org/officeDocument/2006/relationships/ctrlProp" Target="../ctrlProps/ctrlProp8.xml"/><Relationship Id="rId10" Type="http://schemas.openxmlformats.org/officeDocument/2006/relationships/ctrlProp" Target="../ctrlProps/ctrlProp13.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sheetPr>
  <dimension ref="A1:S87"/>
  <sheetViews>
    <sheetView showGridLines="0" showRowColHeaders="0" showRuler="0" topLeftCell="B1" zoomScaleNormal="100" workbookViewId="0">
      <selection activeCell="I7" sqref="I7"/>
    </sheetView>
  </sheetViews>
  <sheetFormatPr defaultColWidth="0" defaultRowHeight="15" zeroHeight="1" x14ac:dyDescent="0.25"/>
  <cols>
    <col min="1" max="1" width="6" style="22" hidden="1" customWidth="1"/>
    <col min="2" max="2" width="6.140625" style="22" customWidth="1"/>
    <col min="3" max="15" width="11.42578125" style="22" customWidth="1"/>
    <col min="16" max="16" width="11.42578125" style="22" hidden="1" customWidth="1"/>
    <col min="17" max="17" width="0" style="22" hidden="1" customWidth="1"/>
    <col min="18" max="18" width="11.42578125" style="22" hidden="1" customWidth="1"/>
    <col min="19" max="19" width="0" style="22" hidden="1" customWidth="1"/>
    <col min="20" max="16384" width="11.42578125" style="22" hidden="1"/>
  </cols>
  <sheetData>
    <row r="1" spans="2:15" x14ac:dyDescent="0.25"/>
    <row r="2" spans="2:15" x14ac:dyDescent="0.25">
      <c r="C2" s="41"/>
    </row>
    <row r="3" spans="2:15" ht="21" x14ac:dyDescent="0.35">
      <c r="C3" s="41"/>
      <c r="F3" s="42" t="s">
        <v>83</v>
      </c>
    </row>
    <row r="4" spans="2:15" ht="21" x14ac:dyDescent="0.35">
      <c r="C4" s="41"/>
      <c r="F4" s="42"/>
    </row>
    <row r="5" spans="2:15" s="88" customFormat="1" ht="15.75" thickBot="1" x14ac:dyDescent="0.3">
      <c r="C5" s="89"/>
    </row>
    <row r="6" spans="2:15" ht="15.75" thickTop="1" x14ac:dyDescent="0.25">
      <c r="B6" s="32"/>
      <c r="F6" s="28"/>
      <c r="G6" s="28"/>
      <c r="H6" s="28"/>
      <c r="I6" s="28"/>
      <c r="J6" s="28"/>
      <c r="K6" s="28"/>
      <c r="L6" s="28"/>
      <c r="M6" s="28"/>
      <c r="N6" s="28"/>
      <c r="O6" s="28"/>
    </row>
    <row r="7" spans="2:15" ht="23.25" x14ac:dyDescent="0.35">
      <c r="B7" s="83"/>
      <c r="C7" s="63"/>
      <c r="D7" s="84"/>
      <c r="E7" s="84"/>
      <c r="F7" s="66"/>
      <c r="G7" s="66"/>
      <c r="H7" s="28"/>
      <c r="I7" s="28"/>
      <c r="J7" s="28"/>
      <c r="K7" s="28"/>
      <c r="L7" s="28"/>
      <c r="M7" s="28"/>
      <c r="N7" s="28"/>
      <c r="O7" s="28"/>
    </row>
    <row r="8" spans="2:15" s="85" customFormat="1" ht="36" customHeight="1" x14ac:dyDescent="0.25">
      <c r="B8" s="28"/>
      <c r="C8" s="22"/>
      <c r="D8" s="22"/>
      <c r="E8" s="22"/>
      <c r="F8" s="28"/>
      <c r="G8" s="28"/>
      <c r="H8" s="28"/>
      <c r="I8" s="28"/>
      <c r="J8" s="28"/>
      <c r="K8" s="28"/>
      <c r="L8" s="28"/>
      <c r="M8" s="28"/>
      <c r="N8" s="28"/>
      <c r="O8" s="86"/>
    </row>
    <row r="9" spans="2:15" x14ac:dyDescent="0.25">
      <c r="B9" s="28"/>
      <c r="F9" s="86"/>
      <c r="G9" s="86"/>
      <c r="H9" s="86"/>
      <c r="I9" s="86"/>
      <c r="J9" s="86"/>
      <c r="K9" s="86"/>
      <c r="L9" s="86"/>
      <c r="M9" s="86"/>
      <c r="N9" s="86"/>
      <c r="O9" s="28"/>
    </row>
    <row r="10" spans="2:15" x14ac:dyDescent="0.25">
      <c r="C10" s="28"/>
      <c r="D10" s="28"/>
      <c r="E10" s="28"/>
      <c r="F10" s="28"/>
      <c r="G10" s="28"/>
      <c r="H10" s="28"/>
      <c r="I10" s="28"/>
      <c r="J10" s="28"/>
      <c r="K10" s="28"/>
      <c r="L10" s="28"/>
      <c r="M10" s="28"/>
      <c r="N10" s="28"/>
      <c r="O10" s="28"/>
    </row>
    <row r="11" spans="2:15" ht="15" customHeight="1" x14ac:dyDescent="0.25">
      <c r="C11" s="28"/>
      <c r="D11" s="28"/>
      <c r="E11" s="28"/>
      <c r="J11" s="28"/>
      <c r="K11" s="28"/>
      <c r="L11" s="28"/>
      <c r="M11" s="28"/>
      <c r="N11" s="28"/>
      <c r="O11" s="87"/>
    </row>
    <row r="12" spans="2:15" x14ac:dyDescent="0.25">
      <c r="C12" s="28"/>
      <c r="D12" s="28"/>
      <c r="E12" s="28"/>
      <c r="J12" s="87"/>
      <c r="K12" s="87"/>
      <c r="L12" s="87"/>
      <c r="M12" s="87"/>
      <c r="N12" s="87"/>
      <c r="O12" s="87"/>
    </row>
    <row r="13" spans="2:15" x14ac:dyDescent="0.25">
      <c r="C13" s="86"/>
      <c r="D13" s="86"/>
      <c r="E13" s="86"/>
      <c r="J13" s="87"/>
      <c r="K13" s="87"/>
      <c r="L13" s="87"/>
      <c r="M13" s="87"/>
      <c r="N13" s="87"/>
      <c r="O13" s="28"/>
    </row>
    <row r="14" spans="2:15" x14ac:dyDescent="0.25">
      <c r="B14" s="85"/>
      <c r="C14" s="28"/>
      <c r="D14" s="28"/>
      <c r="E14" s="28"/>
      <c r="J14" s="28"/>
      <c r="K14" s="28"/>
      <c r="L14" s="28"/>
      <c r="M14" s="28"/>
      <c r="N14" s="28"/>
      <c r="O14" s="28"/>
    </row>
    <row r="15" spans="2:15" x14ac:dyDescent="0.25">
      <c r="F15" s="28"/>
      <c r="G15" s="28"/>
      <c r="H15" s="28"/>
      <c r="I15" s="28"/>
      <c r="J15" s="28"/>
      <c r="K15" s="28"/>
      <c r="L15" s="28"/>
      <c r="M15" s="28"/>
      <c r="N15" s="28"/>
      <c r="O15" s="28"/>
    </row>
    <row r="16" spans="2:15" x14ac:dyDescent="0.25">
      <c r="F16" s="87"/>
      <c r="G16" s="87"/>
      <c r="H16" s="87"/>
      <c r="I16" s="87"/>
      <c r="J16" s="28"/>
      <c r="K16" s="28"/>
      <c r="L16" s="28"/>
      <c r="M16" s="28"/>
      <c r="N16" s="28"/>
      <c r="O16" s="28"/>
    </row>
    <row r="17" spans="2:15" x14ac:dyDescent="0.25">
      <c r="F17" s="87"/>
      <c r="G17" s="87"/>
      <c r="H17" s="87"/>
      <c r="I17" s="87"/>
      <c r="J17" s="28"/>
      <c r="K17" s="28"/>
      <c r="L17" s="28"/>
      <c r="M17" s="28"/>
      <c r="N17" s="28"/>
      <c r="O17" s="28"/>
    </row>
    <row r="18" spans="2:15" x14ac:dyDescent="0.25">
      <c r="F18" s="28"/>
      <c r="G18" s="28"/>
      <c r="H18" s="28"/>
      <c r="I18" s="28"/>
      <c r="J18" s="28"/>
      <c r="K18" s="28"/>
      <c r="L18" s="28"/>
      <c r="M18" s="28"/>
      <c r="N18" s="28"/>
      <c r="O18" s="28"/>
    </row>
    <row r="19" spans="2:15" x14ac:dyDescent="0.25">
      <c r="B19" s="28"/>
      <c r="C19" s="28"/>
      <c r="D19" s="28"/>
      <c r="E19" s="28"/>
      <c r="F19" s="28"/>
      <c r="G19" s="28"/>
      <c r="H19" s="28"/>
      <c r="I19" s="28"/>
      <c r="J19" s="28"/>
      <c r="K19" s="28"/>
      <c r="L19" s="28"/>
      <c r="M19" s="28"/>
      <c r="N19" s="28"/>
      <c r="O19" s="28"/>
    </row>
    <row r="20" spans="2:15" x14ac:dyDescent="0.25">
      <c r="B20" s="28"/>
      <c r="C20" s="87"/>
      <c r="D20" s="87"/>
      <c r="E20" s="87"/>
      <c r="F20" s="28"/>
      <c r="G20" s="28"/>
      <c r="H20" s="28"/>
      <c r="I20" s="28"/>
      <c r="J20" s="28"/>
      <c r="K20" s="28"/>
      <c r="L20" s="28"/>
      <c r="M20" s="28"/>
      <c r="N20" s="28"/>
    </row>
    <row r="21" spans="2:15" x14ac:dyDescent="0.25">
      <c r="B21" s="28"/>
      <c r="C21" s="87"/>
      <c r="D21" s="87"/>
      <c r="E21" s="87"/>
      <c r="F21" s="28"/>
      <c r="G21" s="28"/>
      <c r="H21" s="28"/>
      <c r="I21" s="28"/>
    </row>
    <row r="22" spans="2:15" x14ac:dyDescent="0.25">
      <c r="B22" s="28"/>
      <c r="C22" s="28"/>
      <c r="D22" s="28"/>
      <c r="E22" s="28"/>
      <c r="F22" s="28"/>
      <c r="G22" s="28"/>
      <c r="H22" s="28"/>
      <c r="I22" s="28"/>
    </row>
    <row r="23" spans="2:15" x14ac:dyDescent="0.25">
      <c r="E23" s="28"/>
      <c r="F23" s="28"/>
      <c r="G23" s="28"/>
      <c r="H23" s="28"/>
      <c r="I23" s="28"/>
    </row>
    <row r="24" spans="2:15" x14ac:dyDescent="0.25">
      <c r="E24" s="28"/>
      <c r="F24" s="28"/>
      <c r="G24" s="28"/>
      <c r="H24" s="28"/>
      <c r="I24" s="28"/>
    </row>
    <row r="25" spans="2:15" x14ac:dyDescent="0.25">
      <c r="E25" s="28"/>
    </row>
    <row r="26" spans="2:15" x14ac:dyDescent="0.25">
      <c r="E26" s="28"/>
    </row>
    <row r="27" spans="2:15" x14ac:dyDescent="0.25">
      <c r="C27" s="28"/>
      <c r="D27" s="28"/>
      <c r="E27" s="28"/>
    </row>
    <row r="28" spans="2:15" x14ac:dyDescent="0.25">
      <c r="C28" s="28"/>
      <c r="D28" s="28"/>
      <c r="E28" s="28"/>
    </row>
    <row r="29" spans="2:15" x14ac:dyDescent="0.25"/>
    <row r="30" spans="2:15" x14ac:dyDescent="0.25">
      <c r="C30" s="29"/>
      <c r="D30" s="29"/>
    </row>
    <row r="31" spans="2:15" x14ac:dyDescent="0.25">
      <c r="C31" s="29"/>
      <c r="D31" s="29"/>
    </row>
    <row r="32" spans="2:15" x14ac:dyDescent="0.25">
      <c r="C32" s="29"/>
      <c r="D32" s="29"/>
    </row>
    <row r="33" spans="3:4" x14ac:dyDescent="0.25">
      <c r="C33" s="29"/>
      <c r="D33" s="29"/>
    </row>
    <row r="34" spans="3:4" x14ac:dyDescent="0.25"/>
    <row r="35" spans="3:4" x14ac:dyDescent="0.25"/>
    <row r="36" spans="3:4" x14ac:dyDescent="0.25"/>
    <row r="37" spans="3:4" x14ac:dyDescent="0.25"/>
    <row r="38" spans="3:4" x14ac:dyDescent="0.25"/>
    <row r="39" spans="3:4" x14ac:dyDescent="0.25"/>
    <row r="40" spans="3:4" x14ac:dyDescent="0.25"/>
    <row r="41" spans="3:4" x14ac:dyDescent="0.25"/>
    <row r="42" spans="3:4" x14ac:dyDescent="0.25"/>
    <row r="43" spans="3:4" x14ac:dyDescent="0.25"/>
    <row r="44" spans="3:4" x14ac:dyDescent="0.25"/>
    <row r="45" spans="3:4" x14ac:dyDescent="0.25"/>
    <row r="46" spans="3:4" x14ac:dyDescent="0.25"/>
    <row r="47" spans="3:4" x14ac:dyDescent="0.25"/>
    <row r="48" spans="3:4" x14ac:dyDescent="0.25"/>
    <row r="49" x14ac:dyDescent="0.25"/>
    <row r="50" x14ac:dyDescent="0.25"/>
    <row r="51" x14ac:dyDescent="0.25"/>
    <row r="52" x14ac:dyDescent="0.25"/>
    <row r="53" x14ac:dyDescent="0.25"/>
    <row r="54" x14ac:dyDescent="0.25"/>
    <row r="55" x14ac:dyDescent="0.25"/>
    <row r="56" x14ac:dyDescent="0.25"/>
    <row r="57" x14ac:dyDescent="0.25"/>
    <row r="58" hidden="1" x14ac:dyDescent="0.25"/>
    <row r="59" ht="15.75" hidden="1" customHeight="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sheetData>
  <sheetProtection sheet="1" objects="1" scenarios="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sheetPr>
  <dimension ref="A1:U81"/>
  <sheetViews>
    <sheetView showGridLines="0" zoomScale="70" zoomScaleNormal="70" workbookViewId="0">
      <selection activeCell="O14" sqref="O14"/>
    </sheetView>
  </sheetViews>
  <sheetFormatPr defaultColWidth="0" defaultRowHeight="15" zeroHeight="1" x14ac:dyDescent="0.25"/>
  <cols>
    <col min="1" max="1" width="3.5703125" style="18" customWidth="1"/>
    <col min="2" max="2" width="4.5703125" style="27" bestFit="1" customWidth="1"/>
    <col min="3" max="3" width="45.5703125" customWidth="1"/>
    <col min="4" max="4" width="19.85546875" bestFit="1" customWidth="1"/>
    <col min="5" max="5" width="23.42578125" style="18" customWidth="1"/>
    <col min="6" max="6" width="5.85546875" style="18" bestFit="1" customWidth="1"/>
    <col min="7" max="7" width="21.140625" customWidth="1"/>
    <col min="8" max="8" width="15.42578125" style="18" bestFit="1" customWidth="1"/>
    <col min="9" max="9" width="16.5703125" customWidth="1"/>
    <col min="10" max="10" width="10.28515625" bestFit="1" customWidth="1"/>
    <col min="11" max="13" width="15.7109375" customWidth="1"/>
    <col min="14" max="14" width="28.28515625" customWidth="1"/>
    <col min="15" max="15" width="15.7109375" customWidth="1"/>
    <col min="16" max="16" width="11.5703125" customWidth="1"/>
    <col min="17" max="17" width="5.42578125" customWidth="1"/>
    <col min="18" max="21" width="11.42578125" hidden="1" customWidth="1"/>
  </cols>
  <sheetData>
    <row r="1" spans="2:18" s="22" customFormat="1" x14ac:dyDescent="0.25"/>
    <row r="2" spans="2:18" s="22" customFormat="1" x14ac:dyDescent="0.25">
      <c r="C2" s="41"/>
    </row>
    <row r="3" spans="2:18" s="22" customFormat="1" ht="21" x14ac:dyDescent="0.35">
      <c r="C3" s="41"/>
      <c r="G3" s="42" t="s">
        <v>83</v>
      </c>
    </row>
    <row r="4" spans="2:18" s="22" customFormat="1" ht="21" x14ac:dyDescent="0.35">
      <c r="C4" s="41"/>
      <c r="G4" s="42"/>
    </row>
    <row r="5" spans="2:18" s="88" customFormat="1" ht="15.75" thickBot="1" x14ac:dyDescent="0.3">
      <c r="C5" s="89"/>
    </row>
    <row r="6" spans="2:18" ht="15.75" thickTop="1" x14ac:dyDescent="0.25"/>
    <row r="7" spans="2:18" s="18" customFormat="1" x14ac:dyDescent="0.25">
      <c r="B7" s="100"/>
      <c r="C7" s="101" t="s">
        <v>89</v>
      </c>
      <c r="D7" s="221">
        <v>2020</v>
      </c>
      <c r="E7" s="182"/>
    </row>
    <row r="8" spans="2:18" ht="15.75" x14ac:dyDescent="0.25">
      <c r="B8" s="100"/>
      <c r="C8" s="101" t="s">
        <v>80</v>
      </c>
      <c r="D8" s="221" t="s">
        <v>48</v>
      </c>
      <c r="E8" s="182"/>
      <c r="F8" s="182"/>
      <c r="I8" s="300" t="s">
        <v>147</v>
      </c>
      <c r="J8" s="300"/>
      <c r="K8" s="300"/>
      <c r="L8" s="300"/>
      <c r="M8" s="300"/>
      <c r="N8" s="300"/>
      <c r="O8" s="300"/>
      <c r="P8" s="300"/>
    </row>
    <row r="9" spans="2:18" s="18" customFormat="1" x14ac:dyDescent="0.25">
      <c r="B9" s="27"/>
      <c r="C9" s="7"/>
      <c r="D9" s="7"/>
      <c r="G9" s="6"/>
      <c r="H9" s="6"/>
      <c r="I9" s="169"/>
      <c r="J9" s="6"/>
      <c r="K9" s="6"/>
      <c r="L9" s="6"/>
      <c r="M9" s="6"/>
      <c r="N9" s="6"/>
      <c r="O9" s="6"/>
      <c r="P9" s="6"/>
    </row>
    <row r="10" spans="2:18" s="18" customFormat="1" ht="16.5" thickBot="1" x14ac:dyDescent="0.3">
      <c r="B10" s="45"/>
      <c r="C10" s="46" t="s">
        <v>81</v>
      </c>
      <c r="D10" s="185" t="s">
        <v>145</v>
      </c>
      <c r="E10" s="185" t="s">
        <v>144</v>
      </c>
      <c r="F10" s="170"/>
      <c r="G10" s="192" t="s">
        <v>155</v>
      </c>
      <c r="H10" s="182" t="s">
        <v>82</v>
      </c>
      <c r="I10" s="170" t="s">
        <v>71</v>
      </c>
      <c r="J10" s="168"/>
      <c r="K10" s="168" t="s">
        <v>72</v>
      </c>
      <c r="L10" s="168" t="s">
        <v>73</v>
      </c>
      <c r="M10" s="188" t="s">
        <v>82</v>
      </c>
      <c r="N10" s="6"/>
      <c r="O10" s="6"/>
      <c r="P10" s="6"/>
    </row>
    <row r="11" spans="2:18" ht="19.5" customHeight="1" x14ac:dyDescent="0.25">
      <c r="B11" s="38" t="s">
        <v>47</v>
      </c>
      <c r="C11" s="28" t="s">
        <v>51</v>
      </c>
      <c r="D11" s="222">
        <v>69498</v>
      </c>
      <c r="E11" s="223">
        <f>+G23*G11</f>
        <v>140931.47856483518</v>
      </c>
      <c r="F11" s="214"/>
      <c r="G11" s="227">
        <v>0.2</v>
      </c>
      <c r="H11" s="182" t="s">
        <v>82</v>
      </c>
      <c r="I11" s="75">
        <f>+E11-D11</f>
        <v>71433.478564835183</v>
      </c>
      <c r="J11" s="37"/>
      <c r="K11" s="111">
        <f>IF(I11&lt;0,ABS(I11),0)</f>
        <v>0</v>
      </c>
      <c r="L11" s="111">
        <f>IF(I11&gt;0,ABS(I11),0)</f>
        <v>71433.478564835183</v>
      </c>
      <c r="M11" s="37"/>
      <c r="N11" s="71" t="s">
        <v>74</v>
      </c>
      <c r="O11" s="90">
        <f>SUMPRODUCT(($B$11:$B$23="$")*(K11:K23))</f>
        <v>0</v>
      </c>
      <c r="P11" s="216">
        <f>O11/SUM($O$11:$O$13)</f>
        <v>0</v>
      </c>
      <c r="Q11" s="37"/>
      <c r="R11" s="37"/>
    </row>
    <row r="12" spans="2:18" ht="19.5" customHeight="1" x14ac:dyDescent="0.25">
      <c r="B12" s="39" t="s">
        <v>48</v>
      </c>
      <c r="C12" s="28" t="s">
        <v>156</v>
      </c>
      <c r="D12" s="222">
        <v>240041</v>
      </c>
      <c r="E12" s="223">
        <f>+G23*G12</f>
        <v>563725.91425934073</v>
      </c>
      <c r="F12" s="214"/>
      <c r="G12" s="227">
        <v>0.8</v>
      </c>
      <c r="I12" s="76">
        <f t="shared" ref="I12:I22" si="0">+E12-D12</f>
        <v>323684.91425934073</v>
      </c>
      <c r="J12" s="37"/>
      <c r="K12" s="90">
        <f t="shared" ref="K12:K17" si="1">IF(I12&lt;0,ABS(I12),0)</f>
        <v>0</v>
      </c>
      <c r="L12" s="90">
        <f t="shared" ref="L12:L17" si="2">IF(I12&gt;0,ABS(I12),0)</f>
        <v>323684.91425934073</v>
      </c>
      <c r="M12" s="37"/>
      <c r="N12" s="71" t="s">
        <v>78</v>
      </c>
      <c r="O12" s="90">
        <f>SUMPRODUCT(($B$11:$B$23="USD")*(K11:K23))</f>
        <v>0</v>
      </c>
      <c r="P12" s="216">
        <f>O12/SUM($O$11:$O$13)</f>
        <v>0</v>
      </c>
      <c r="Q12" s="37"/>
      <c r="R12" s="37"/>
    </row>
    <row r="13" spans="2:18" s="18" customFormat="1" ht="19.5" customHeight="1" x14ac:dyDescent="0.25">
      <c r="B13" s="38" t="s">
        <v>47</v>
      </c>
      <c r="C13" s="110" t="s">
        <v>98</v>
      </c>
      <c r="D13" s="224">
        <v>9158</v>
      </c>
      <c r="E13" s="224">
        <v>75827.192626728094</v>
      </c>
      <c r="F13" s="214"/>
      <c r="H13" s="36"/>
      <c r="I13" s="76">
        <f t="shared" si="0"/>
        <v>66669.192626728094</v>
      </c>
      <c r="J13" s="37"/>
      <c r="K13" s="90"/>
      <c r="L13" s="90"/>
      <c r="M13" s="37"/>
      <c r="N13" s="72" t="s">
        <v>75</v>
      </c>
      <c r="O13" s="91">
        <f>K23</f>
        <v>395118.39282417577</v>
      </c>
      <c r="P13" s="216">
        <f>O13/SUM($O$11:$O$13)</f>
        <v>1</v>
      </c>
      <c r="Q13" s="37"/>
      <c r="R13" s="37"/>
    </row>
    <row r="14" spans="2:18" s="18" customFormat="1" ht="19.5" customHeight="1" x14ac:dyDescent="0.25">
      <c r="B14" s="39" t="s">
        <v>48</v>
      </c>
      <c r="C14" s="110" t="s">
        <v>157</v>
      </c>
      <c r="D14" s="224">
        <v>240041</v>
      </c>
      <c r="E14" s="224">
        <v>550352.17615668208</v>
      </c>
      <c r="F14" s="214"/>
      <c r="H14" s="36"/>
      <c r="I14" s="76">
        <f t="shared" si="0"/>
        <v>310311.17615668208</v>
      </c>
      <c r="J14" s="37"/>
      <c r="K14" s="90"/>
      <c r="L14" s="90"/>
      <c r="M14" s="37"/>
      <c r="N14" s="71" t="s">
        <v>76</v>
      </c>
      <c r="O14" s="90">
        <f>SUMPRODUCT(($B$11:$B$23="$")*(L11:L23))</f>
        <v>71433.478564835183</v>
      </c>
      <c r="P14" s="216">
        <f>O14/SUM($O$14:$O$16)</f>
        <v>0.18079006156674268</v>
      </c>
      <c r="Q14" s="37"/>
      <c r="R14" s="37"/>
    </row>
    <row r="15" spans="2:18" ht="19.5" customHeight="1" x14ac:dyDescent="0.25">
      <c r="B15" s="38" t="s">
        <v>47</v>
      </c>
      <c r="C15" s="28" t="s">
        <v>52</v>
      </c>
      <c r="D15" s="222">
        <v>0</v>
      </c>
      <c r="E15" s="223">
        <f>+D15*(1+Tablero!D10)</f>
        <v>0</v>
      </c>
      <c r="F15" s="214">
        <f>IFERROR(+E15/SUM(E15:E16),0)</f>
        <v>0</v>
      </c>
      <c r="G15" s="196">
        <f>+Tablero!D10</f>
        <v>0</v>
      </c>
      <c r="H15" s="36"/>
      <c r="I15" s="76">
        <f t="shared" si="0"/>
        <v>0</v>
      </c>
      <c r="J15" s="37"/>
      <c r="K15" s="90">
        <f t="shared" si="1"/>
        <v>0</v>
      </c>
      <c r="L15" s="90">
        <f t="shared" si="2"/>
        <v>0</v>
      </c>
      <c r="M15" s="37"/>
      <c r="N15" s="71" t="s">
        <v>79</v>
      </c>
      <c r="O15" s="90">
        <f>SUMPRODUCT(($B$11:$B$23="USD")*(L11:L23))</f>
        <v>323684.91425934073</v>
      </c>
      <c r="P15" s="216">
        <f>O15/SUM($O$14:$O$16)</f>
        <v>0.8192099384332574</v>
      </c>
      <c r="Q15" s="37"/>
      <c r="R15" s="37"/>
    </row>
    <row r="16" spans="2:18" ht="19.5" customHeight="1" x14ac:dyDescent="0.25">
      <c r="B16" s="39" t="s">
        <v>48</v>
      </c>
      <c r="C16" s="28" t="s">
        <v>158</v>
      </c>
      <c r="D16" s="222">
        <v>2929497.4207373271</v>
      </c>
      <c r="E16" s="223">
        <f>+D16*(1+Tablero!D11)</f>
        <v>2929497.4207373271</v>
      </c>
      <c r="F16" s="214">
        <f>IFERROR(E16/SUM(E15:E16),0)</f>
        <v>1</v>
      </c>
      <c r="G16" s="196">
        <f>+Tablero!D11</f>
        <v>0</v>
      </c>
      <c r="H16" s="36"/>
      <c r="I16" s="76">
        <f t="shared" si="0"/>
        <v>0</v>
      </c>
      <c r="J16" s="37"/>
      <c r="K16" s="187">
        <f t="shared" si="1"/>
        <v>0</v>
      </c>
      <c r="L16" s="187">
        <f>IF(I16&gt;0,ABS(I16),0)</f>
        <v>0</v>
      </c>
      <c r="M16" s="37"/>
      <c r="N16" s="71" t="s">
        <v>77</v>
      </c>
      <c r="O16" s="92">
        <f>L23</f>
        <v>0</v>
      </c>
      <c r="P16" s="216">
        <f>O16/SUM($O$14:$O$16)</f>
        <v>0</v>
      </c>
      <c r="Q16" s="37"/>
      <c r="R16" s="37"/>
    </row>
    <row r="17" spans="2:18" s="18" customFormat="1" ht="19.5" customHeight="1" x14ac:dyDescent="0.25">
      <c r="B17" s="100"/>
      <c r="C17" s="68" t="s">
        <v>63</v>
      </c>
      <c r="D17" s="225">
        <f>+SUM(D11:D12,D15:D16)</f>
        <v>3239036.4207373271</v>
      </c>
      <c r="E17" s="225">
        <f>+SUM(E11:E12,E15:E16)</f>
        <v>3634154.8135615028</v>
      </c>
      <c r="F17" s="215"/>
      <c r="G17" s="197"/>
      <c r="H17" s="20"/>
      <c r="I17" s="77">
        <f t="shared" si="0"/>
        <v>395118.39282417577</v>
      </c>
      <c r="J17" s="37"/>
      <c r="K17" s="186">
        <f t="shared" si="1"/>
        <v>0</v>
      </c>
      <c r="L17" s="186">
        <f t="shared" si="2"/>
        <v>395118.39282417577</v>
      </c>
      <c r="M17" s="37"/>
      <c r="N17" s="6"/>
      <c r="O17" s="6"/>
      <c r="P17" s="6"/>
      <c r="Q17" s="37"/>
      <c r="R17" s="37"/>
    </row>
    <row r="18" spans="2:18" s="18" customFormat="1" ht="19.5" customHeight="1" x14ac:dyDescent="0.25">
      <c r="B18" s="38" t="s">
        <v>47</v>
      </c>
      <c r="C18" s="28" t="s">
        <v>53</v>
      </c>
      <c r="D18" s="222">
        <v>74458.423870500948</v>
      </c>
      <c r="E18" s="223">
        <f>+D18*(1+Tablero!D12)</f>
        <v>74458.423870500948</v>
      </c>
      <c r="F18" s="214">
        <f>IFERROR(+E18/SUM(E18:E19),0)</f>
        <v>0.17034349550102271</v>
      </c>
      <c r="G18" s="196">
        <f>+Tablero!D12</f>
        <v>0</v>
      </c>
      <c r="H18" s="20"/>
      <c r="I18" s="75">
        <f>+E18-D18</f>
        <v>0</v>
      </c>
      <c r="J18" s="37"/>
      <c r="K18" s="111">
        <f t="shared" ref="K18:K22" si="3">IF(I18&gt;0,ABS(I18),0)</f>
        <v>0</v>
      </c>
      <c r="L18" s="111">
        <f t="shared" ref="L18:L23" si="4">IF(I18&lt;0,ABS(I18),0)</f>
        <v>0</v>
      </c>
      <c r="M18" s="37"/>
      <c r="N18" s="6"/>
      <c r="O18" s="6"/>
      <c r="P18" s="6"/>
      <c r="Q18" s="37"/>
      <c r="R18" s="37"/>
    </row>
    <row r="19" spans="2:18" s="18" customFormat="1" ht="19.5" customHeight="1" x14ac:dyDescent="0.25">
      <c r="B19" s="39" t="s">
        <v>48</v>
      </c>
      <c r="C19" s="28" t="s">
        <v>159</v>
      </c>
      <c r="D19" s="222">
        <v>362649.10202298948</v>
      </c>
      <c r="E19" s="223">
        <f>+D19*(1+Tablero!D13)</f>
        <v>362649.10202298948</v>
      </c>
      <c r="F19" s="214">
        <f>IFERROR(+E19/SUM(E18:E19),0)</f>
        <v>0.82965650449897732</v>
      </c>
      <c r="G19" s="196">
        <f>+Tablero!D13</f>
        <v>0</v>
      </c>
      <c r="H19" s="20"/>
      <c r="I19" s="76">
        <f t="shared" si="0"/>
        <v>0</v>
      </c>
      <c r="J19" s="37"/>
      <c r="K19" s="90">
        <f t="shared" si="3"/>
        <v>0</v>
      </c>
      <c r="L19" s="90">
        <f t="shared" si="4"/>
        <v>0</v>
      </c>
      <c r="M19" s="37"/>
      <c r="N19" s="37"/>
      <c r="O19" s="37"/>
      <c r="P19" s="37"/>
      <c r="Q19" s="37"/>
      <c r="R19" s="37"/>
    </row>
    <row r="20" spans="2:18" s="18" customFormat="1" ht="19.5" customHeight="1" x14ac:dyDescent="0.25">
      <c r="B20" s="38" t="s">
        <v>47</v>
      </c>
      <c r="C20" s="28" t="s">
        <v>54</v>
      </c>
      <c r="D20" s="222">
        <v>37324.18583437537</v>
      </c>
      <c r="E20" s="223">
        <f>+D20*(1+Tablero!D14)</f>
        <v>37324.18583437537</v>
      </c>
      <c r="F20" s="214">
        <f>IFERROR(+E20/SUM(E20:E21),0)</f>
        <v>0.40990247027312426</v>
      </c>
      <c r="G20" s="196">
        <f>+Tablero!D14</f>
        <v>0</v>
      </c>
      <c r="H20" s="20"/>
      <c r="I20" s="76">
        <f t="shared" si="0"/>
        <v>0</v>
      </c>
      <c r="J20" s="37"/>
      <c r="K20" s="90">
        <f t="shared" si="3"/>
        <v>0</v>
      </c>
      <c r="L20" s="90">
        <f t="shared" si="4"/>
        <v>0</v>
      </c>
      <c r="M20" s="37"/>
      <c r="N20" s="37"/>
      <c r="O20" s="37"/>
      <c r="P20" s="37"/>
      <c r="Q20" s="37"/>
      <c r="R20" s="37"/>
    </row>
    <row r="21" spans="2:18" s="18" customFormat="1" ht="19.5" customHeight="1" x14ac:dyDescent="0.25">
      <c r="B21" s="39" t="s">
        <v>48</v>
      </c>
      <c r="C21" s="28" t="s">
        <v>55</v>
      </c>
      <c r="D21" s="222">
        <v>53732.073986419797</v>
      </c>
      <c r="E21" s="223">
        <f>+D21*(1+Tablero!D15)</f>
        <v>53732.073986419797</v>
      </c>
      <c r="F21" s="214">
        <f>IFERROR(+E21/SUM(E20:E21),0)</f>
        <v>0.59009752972687579</v>
      </c>
      <c r="G21" s="196">
        <f>+Tablero!D15</f>
        <v>0</v>
      </c>
      <c r="H21" s="20"/>
      <c r="I21" s="76">
        <f t="shared" si="0"/>
        <v>0</v>
      </c>
      <c r="J21" s="37"/>
      <c r="K21" s="187">
        <f t="shared" si="3"/>
        <v>0</v>
      </c>
      <c r="L21" s="90">
        <f t="shared" si="4"/>
        <v>0</v>
      </c>
      <c r="M21" s="37"/>
      <c r="N21" s="37"/>
      <c r="O21" s="37"/>
      <c r="P21" s="37"/>
      <c r="Q21" s="37"/>
      <c r="R21" s="37"/>
    </row>
    <row r="22" spans="2:18" s="18" customFormat="1" ht="19.5" customHeight="1" thickBot="1" x14ac:dyDescent="0.3">
      <c r="B22" s="45"/>
      <c r="C22" s="68" t="s">
        <v>18</v>
      </c>
      <c r="D22" s="225">
        <f>+SUM(D18:D21)</f>
        <v>528163.78571428556</v>
      </c>
      <c r="E22" s="225">
        <f>+SUM(E18:E21)</f>
        <v>528163.78571428556</v>
      </c>
      <c r="F22" s="214"/>
      <c r="G22" s="20"/>
      <c r="H22" s="6"/>
      <c r="I22" s="69">
        <f t="shared" si="0"/>
        <v>0</v>
      </c>
      <c r="J22" s="37"/>
      <c r="K22" s="69">
        <f t="shared" si="3"/>
        <v>0</v>
      </c>
      <c r="L22" s="69">
        <f t="shared" si="4"/>
        <v>0</v>
      </c>
      <c r="M22" s="37"/>
      <c r="N22" s="37"/>
      <c r="O22" s="37"/>
      <c r="P22" s="37"/>
      <c r="Q22" s="37"/>
      <c r="R22" s="37"/>
    </row>
    <row r="23" spans="2:18" s="18" customFormat="1" ht="19.5" customHeight="1" thickBot="1" x14ac:dyDescent="0.3">
      <c r="B23" s="45"/>
      <c r="C23" s="70" t="s">
        <v>146</v>
      </c>
      <c r="D23" s="226">
        <f>+D17-D22</f>
        <v>2710872.6350230416</v>
      </c>
      <c r="E23" s="226">
        <f>+E17-E22</f>
        <v>3105991.0278472174</v>
      </c>
      <c r="F23" s="214"/>
      <c r="G23" s="201">
        <f>D23+D48-SUM(E15:E16)++SUM(E18:E21)</f>
        <v>704657.39282417588</v>
      </c>
      <c r="I23" s="69">
        <f>+E23-D23</f>
        <v>395118.39282417577</v>
      </c>
      <c r="J23" s="37"/>
      <c r="K23" s="69">
        <f>IF(I23&gt;0,ABS(I23),0)</f>
        <v>395118.39282417577</v>
      </c>
      <c r="L23" s="69">
        <f t="shared" si="4"/>
        <v>0</v>
      </c>
      <c r="M23" s="37"/>
      <c r="N23" s="37"/>
      <c r="O23" s="37"/>
      <c r="P23" s="37"/>
      <c r="Q23" s="37"/>
      <c r="R23" s="37"/>
    </row>
    <row r="24" spans="2:18" s="22" customFormat="1" ht="19.5" customHeight="1" x14ac:dyDescent="0.25">
      <c r="B24" s="40"/>
      <c r="C24" s="40"/>
      <c r="D24" s="73"/>
      <c r="E24" s="193"/>
      <c r="F24" s="193"/>
      <c r="G24" s="28"/>
      <c r="H24" s="28"/>
      <c r="I24" s="73"/>
      <c r="J24" s="74"/>
      <c r="K24" s="34"/>
      <c r="L24" s="34"/>
      <c r="M24" s="74"/>
      <c r="N24" s="74"/>
      <c r="O24" s="74"/>
      <c r="P24" s="74"/>
      <c r="Q24" s="74"/>
      <c r="R24" s="74"/>
    </row>
    <row r="25" spans="2:18" ht="16.5" thickBot="1" x14ac:dyDescent="0.3">
      <c r="B25" s="45"/>
      <c r="C25" s="46" t="s">
        <v>88</v>
      </c>
      <c r="D25" s="44"/>
      <c r="E25" s="203"/>
      <c r="G25" s="202"/>
      <c r="H25" s="28"/>
      <c r="I25" s="194"/>
      <c r="J25" s="28"/>
      <c r="K25" s="28"/>
      <c r="L25" s="28"/>
      <c r="M25" s="28"/>
      <c r="N25" s="28"/>
      <c r="O25" s="6"/>
      <c r="P25" s="6"/>
    </row>
    <row r="26" spans="2:18" x14ac:dyDescent="0.25">
      <c r="B26" s="38" t="s">
        <v>47</v>
      </c>
      <c r="C26" s="6" t="s">
        <v>56</v>
      </c>
      <c r="D26" s="222">
        <v>0</v>
      </c>
      <c r="E26" s="28"/>
      <c r="F26" s="28"/>
      <c r="I26" s="18"/>
      <c r="J26" s="18"/>
      <c r="K26" s="18"/>
      <c r="L26" s="18"/>
      <c r="M26" s="18"/>
      <c r="N26" s="18"/>
      <c r="O26" s="18"/>
      <c r="P26" s="6"/>
    </row>
    <row r="27" spans="2:18" ht="15.75" thickBot="1" x14ac:dyDescent="0.3">
      <c r="B27" s="105" t="s">
        <v>48</v>
      </c>
      <c r="C27" s="106" t="s">
        <v>160</v>
      </c>
      <c r="D27" s="228">
        <v>1223712.1000000001</v>
      </c>
    </row>
    <row r="28" spans="2:18" s="18" customFormat="1" x14ac:dyDescent="0.25">
      <c r="B28" s="40"/>
      <c r="C28" s="40"/>
      <c r="D28" s="73"/>
      <c r="E28" s="7"/>
      <c r="F28" s="7"/>
    </row>
    <row r="29" spans="2:18" ht="16.5" thickBot="1" x14ac:dyDescent="0.3">
      <c r="B29" s="45"/>
      <c r="C29" s="46" t="s">
        <v>161</v>
      </c>
      <c r="D29" s="107">
        <f>+D7</f>
        <v>2020</v>
      </c>
      <c r="E29" s="33"/>
      <c r="F29" s="33"/>
      <c r="G29" s="298" t="s">
        <v>149</v>
      </c>
      <c r="H29" s="298"/>
      <c r="I29" s="298"/>
      <c r="J29" s="298"/>
      <c r="K29" s="298"/>
      <c r="L29" s="298"/>
      <c r="M29" s="298"/>
      <c r="N29" s="298"/>
      <c r="O29" s="298"/>
      <c r="P29" s="109" t="s">
        <v>82</v>
      </c>
    </row>
    <row r="30" spans="2:18" ht="15.75" thickBot="1" x14ac:dyDescent="0.3">
      <c r="B30" s="102" t="s">
        <v>47</v>
      </c>
      <c r="C30" s="103" t="s">
        <v>57</v>
      </c>
      <c r="D30" s="229">
        <f>+H34</f>
        <v>368329.4</v>
      </c>
      <c r="E30" s="104"/>
      <c r="F30" s="104"/>
      <c r="G30" s="171"/>
      <c r="H30" s="6"/>
      <c r="I30" s="191" t="s">
        <v>16</v>
      </c>
      <c r="J30" s="192" t="s">
        <v>3</v>
      </c>
      <c r="K30" s="192" t="s">
        <v>4</v>
      </c>
      <c r="L30" s="192" t="s">
        <v>44</v>
      </c>
      <c r="M30" s="192" t="s">
        <v>45</v>
      </c>
      <c r="N30" s="192" t="s">
        <v>46</v>
      </c>
      <c r="O30" s="192" t="s">
        <v>86</v>
      </c>
      <c r="P30" s="6"/>
    </row>
    <row r="31" spans="2:18" x14ac:dyDescent="0.25">
      <c r="B31" s="39" t="s">
        <v>48</v>
      </c>
      <c r="C31" s="6" t="s">
        <v>58</v>
      </c>
      <c r="D31" s="223">
        <f>+H35</f>
        <v>1559828.227</v>
      </c>
      <c r="E31" s="104"/>
      <c r="F31" s="104"/>
      <c r="G31" s="171"/>
      <c r="H31" s="6"/>
      <c r="I31" s="189">
        <f>+(I34+I35)/($H$34+$H$35)</f>
        <v>0.71324393179396428</v>
      </c>
      <c r="J31" s="174">
        <f t="shared" ref="J31:O31" si="5">+(J34+J35)/($H$34+$H$35)</f>
        <v>0</v>
      </c>
      <c r="K31" s="174">
        <f t="shared" si="5"/>
        <v>0</v>
      </c>
      <c r="L31" s="174">
        <f t="shared" si="5"/>
        <v>0.14646592998695745</v>
      </c>
      <c r="M31" s="174">
        <f t="shared" si="5"/>
        <v>1.7130342217607505E-2</v>
      </c>
      <c r="N31" s="174">
        <f t="shared" si="5"/>
        <v>4.4560672217282368E-2</v>
      </c>
      <c r="O31" s="174">
        <f t="shared" si="5"/>
        <v>7.8599123784188429E-2</v>
      </c>
      <c r="P31" s="217">
        <f>+SUM(I31:O31)</f>
        <v>1</v>
      </c>
    </row>
    <row r="32" spans="2:18" x14ac:dyDescent="0.25">
      <c r="B32" s="102" t="s">
        <v>47</v>
      </c>
      <c r="C32" s="103" t="s">
        <v>59</v>
      </c>
      <c r="D32" s="229">
        <f>-H36</f>
        <v>-258001.13417582423</v>
      </c>
      <c r="E32" s="33"/>
      <c r="F32" s="33"/>
      <c r="G32" s="171"/>
      <c r="H32" s="6"/>
      <c r="I32" s="189">
        <f>+(I36+I37)/($H$36+$H$37)</f>
        <v>0.79686288597334043</v>
      </c>
      <c r="J32" s="174">
        <f t="shared" ref="J32:O32" si="6">+(J36+J37)/($H$36+$H$37)</f>
        <v>0</v>
      </c>
      <c r="K32" s="174">
        <f t="shared" si="6"/>
        <v>0</v>
      </c>
      <c r="L32" s="174">
        <f t="shared" si="6"/>
        <v>0.15564846825686271</v>
      </c>
      <c r="M32" s="174">
        <f t="shared" si="6"/>
        <v>4.2879064331371114E-3</v>
      </c>
      <c r="N32" s="174">
        <f t="shared" si="6"/>
        <v>4.3200739336659695E-2</v>
      </c>
      <c r="O32" s="174">
        <f t="shared" si="6"/>
        <v>0</v>
      </c>
      <c r="P32" s="217">
        <f>+SUM(I32:O32)</f>
        <v>1</v>
      </c>
    </row>
    <row r="33" spans="2:16" ht="15.75" thickBot="1" x14ac:dyDescent="0.3">
      <c r="B33" s="39" t="s">
        <v>48</v>
      </c>
      <c r="C33" s="6" t="s">
        <v>60</v>
      </c>
      <c r="D33" s="223">
        <f>-H37</f>
        <v>-1012082.55</v>
      </c>
      <c r="E33" s="33"/>
      <c r="F33" s="33"/>
      <c r="G33" s="171"/>
      <c r="H33" s="81"/>
      <c r="I33" s="208">
        <f>IF($D$34=0,0,(($D$30+$D$31)*I31+($D$32+$D$33)*I32)/$D$34)</f>
        <v>0.55185922639856044</v>
      </c>
      <c r="J33" s="173">
        <f>IF($D$34=0,0,(($D$30+$D$31)*J31+($D$32+$D$33)*J32)/$D$34)</f>
        <v>0</v>
      </c>
      <c r="K33" s="173">
        <f t="shared" ref="K33:O33" si="7">IF($D$34=0,0,(($D$30+$D$31)*K31+($D$32+$D$33)*K32)/$D$34)</f>
        <v>0</v>
      </c>
      <c r="L33" s="173">
        <f t="shared" si="7"/>
        <v>0.12874361752785018</v>
      </c>
      <c r="M33" s="173">
        <f t="shared" si="7"/>
        <v>4.1916262299675801E-2</v>
      </c>
      <c r="N33" s="173">
        <f t="shared" si="7"/>
        <v>4.718534469077456E-2</v>
      </c>
      <c r="O33" s="173">
        <f t="shared" si="7"/>
        <v>0.2302955490831394</v>
      </c>
      <c r="P33" s="190"/>
    </row>
    <row r="34" spans="2:16" x14ac:dyDescent="0.25">
      <c r="B34" s="149"/>
      <c r="C34" s="148" t="s">
        <v>0</v>
      </c>
      <c r="D34" s="230">
        <f>+SUM(D30:D33)</f>
        <v>658073.94282417558</v>
      </c>
      <c r="G34" s="172" t="s">
        <v>57</v>
      </c>
      <c r="H34" s="175">
        <f>SUM(I34:P34)</f>
        <v>368329.4</v>
      </c>
      <c r="I34" s="234"/>
      <c r="J34" s="231"/>
      <c r="K34" s="231"/>
      <c r="L34" s="231">
        <f>84722.82/0.3</f>
        <v>282409.40000000002</v>
      </c>
      <c r="M34" s="231"/>
      <c r="N34" s="231">
        <f>60*1432</f>
        <v>85920</v>
      </c>
      <c r="O34" s="235"/>
      <c r="P34" s="190"/>
    </row>
    <row r="35" spans="2:16" s="18" customFormat="1" ht="15.75" thickBot="1" x14ac:dyDescent="0.3">
      <c r="B35" s="108"/>
      <c r="C35" s="6" t="s">
        <v>92</v>
      </c>
      <c r="D35" s="222"/>
      <c r="E35" s="34"/>
      <c r="F35" s="34"/>
      <c r="G35" s="171" t="s">
        <v>58</v>
      </c>
      <c r="H35" s="207">
        <f>SUM(I35:P35)</f>
        <v>1559828.227</v>
      </c>
      <c r="I35" s="236">
        <f>1375247-0.273</f>
        <v>1375246.727</v>
      </c>
      <c r="J35" s="237"/>
      <c r="K35" s="237"/>
      <c r="L35" s="237"/>
      <c r="M35" s="237">
        <f>183.5*7.5*24</f>
        <v>33030</v>
      </c>
      <c r="N35" s="237"/>
      <c r="O35" s="238">
        <f>14000+2500+135051.5</f>
        <v>151551.5</v>
      </c>
      <c r="P35" s="190"/>
    </row>
    <row r="36" spans="2:16" s="18" customFormat="1" x14ac:dyDescent="0.25">
      <c r="B36" s="149"/>
      <c r="C36" s="148" t="s">
        <v>93</v>
      </c>
      <c r="D36" s="230">
        <f>SUM(D34:D35)</f>
        <v>658073.94282417558</v>
      </c>
      <c r="E36" s="109" t="s">
        <v>82</v>
      </c>
      <c r="F36" s="109"/>
      <c r="G36" s="172" t="s">
        <v>59</v>
      </c>
      <c r="H36" s="175">
        <f>SUM(I36:P36)</f>
        <v>258001.13417582423</v>
      </c>
      <c r="I36" s="239"/>
      <c r="J36" s="222"/>
      <c r="K36" s="222"/>
      <c r="L36" s="222">
        <f>L34-84722.82</f>
        <v>197686.58000000002</v>
      </c>
      <c r="M36" s="222">
        <f>1150+N34*0.05</f>
        <v>5446</v>
      </c>
      <c r="N36" s="222">
        <f>56018.5541758242-1150</f>
        <v>54868.554175824203</v>
      </c>
      <c r="O36" s="240"/>
      <c r="P36" s="190"/>
    </row>
    <row r="37" spans="2:16" s="18" customFormat="1" ht="15.75" thickBot="1" x14ac:dyDescent="0.3">
      <c r="B37" s="38" t="s">
        <v>47</v>
      </c>
      <c r="C37" s="82" t="s">
        <v>61</v>
      </c>
      <c r="D37" s="231"/>
      <c r="G37" s="171" t="s">
        <v>60</v>
      </c>
      <c r="H37" s="175">
        <f>SUM(I37:P37)</f>
        <v>1012082.55</v>
      </c>
      <c r="I37" s="241">
        <f>679331+218097.55+M35+N34*0.95</f>
        <v>1012082.55</v>
      </c>
      <c r="J37" s="242"/>
      <c r="K37" s="242"/>
      <c r="L37" s="242"/>
      <c r="M37" s="242"/>
      <c r="N37" s="242"/>
      <c r="O37" s="243"/>
      <c r="P37" s="190"/>
    </row>
    <row r="38" spans="2:16" s="18" customFormat="1" ht="15.75" thickBot="1" x14ac:dyDescent="0.3">
      <c r="B38" s="39" t="s">
        <v>48</v>
      </c>
      <c r="C38" s="82" t="s">
        <v>62</v>
      </c>
      <c r="D38" s="222"/>
      <c r="E38" s="33"/>
      <c r="F38" s="33"/>
      <c r="G38" s="198" t="str">
        <f>+C34</f>
        <v>Margen Bruto Global</v>
      </c>
      <c r="H38" s="199">
        <f>SUM(I38:P38)</f>
        <v>658073.9428241757</v>
      </c>
      <c r="I38" s="152">
        <f t="shared" ref="I38:O38" si="8">+I34+I35-I36-I37</f>
        <v>363164.17699999991</v>
      </c>
      <c r="J38" s="152">
        <f t="shared" si="8"/>
        <v>0</v>
      </c>
      <c r="K38" s="152">
        <f t="shared" si="8"/>
        <v>0</v>
      </c>
      <c r="L38" s="152">
        <f t="shared" si="8"/>
        <v>84722.82</v>
      </c>
      <c r="M38" s="152">
        <f t="shared" si="8"/>
        <v>27584</v>
      </c>
      <c r="N38" s="152">
        <f t="shared" si="8"/>
        <v>31051.445824175797</v>
      </c>
      <c r="O38" s="209">
        <f t="shared" si="8"/>
        <v>151551.5</v>
      </c>
      <c r="P38" s="190"/>
    </row>
    <row r="39" spans="2:16" x14ac:dyDescent="0.25">
      <c r="B39" s="149"/>
      <c r="C39" s="148" t="s">
        <v>91</v>
      </c>
      <c r="D39" s="230">
        <f>D34+D37+D38</f>
        <v>658073.94282417558</v>
      </c>
      <c r="E39" s="109" t="s">
        <v>82</v>
      </c>
      <c r="F39" s="109"/>
      <c r="G39" s="299" t="s">
        <v>150</v>
      </c>
      <c r="H39" s="299"/>
      <c r="I39" s="200">
        <f t="shared" ref="I39:O39" si="9">+I38/$H$38</f>
        <v>0.55185922639856011</v>
      </c>
      <c r="J39" s="200">
        <f t="shared" si="9"/>
        <v>0</v>
      </c>
      <c r="K39" s="200">
        <f t="shared" si="9"/>
        <v>0</v>
      </c>
      <c r="L39" s="200">
        <f t="shared" si="9"/>
        <v>0.12874361752785016</v>
      </c>
      <c r="M39" s="200">
        <f t="shared" si="9"/>
        <v>4.1916262299675794E-2</v>
      </c>
      <c r="N39" s="200">
        <f t="shared" si="9"/>
        <v>4.7185344690774553E-2</v>
      </c>
      <c r="O39" s="200">
        <f t="shared" si="9"/>
        <v>0.23029554908313937</v>
      </c>
      <c r="P39" s="217">
        <f>+SUM(I39:O39)</f>
        <v>1</v>
      </c>
    </row>
    <row r="40" spans="2:16" x14ac:dyDescent="0.25">
      <c r="C40" s="6" t="s">
        <v>11</v>
      </c>
      <c r="D40" s="222">
        <v>-53509.5</v>
      </c>
      <c r="E40" s="33"/>
      <c r="F40" s="33"/>
    </row>
    <row r="41" spans="2:16" x14ac:dyDescent="0.25">
      <c r="B41" s="149"/>
      <c r="C41" s="148" t="s">
        <v>94</v>
      </c>
      <c r="D41" s="230">
        <f>+SUM(D39:D40)</f>
        <v>604564.44282417558</v>
      </c>
      <c r="E41" s="109" t="s">
        <v>82</v>
      </c>
      <c r="F41" s="109"/>
    </row>
    <row r="42" spans="2:16" x14ac:dyDescent="0.25">
      <c r="C42" s="6" t="s">
        <v>70</v>
      </c>
      <c r="D42" s="222">
        <v>-93028.17</v>
      </c>
      <c r="E42" s="33"/>
      <c r="F42" s="33"/>
      <c r="I42" s="18"/>
    </row>
    <row r="43" spans="2:16" x14ac:dyDescent="0.25">
      <c r="B43" s="149"/>
      <c r="C43" s="148" t="s">
        <v>95</v>
      </c>
      <c r="D43" s="230">
        <f>+SUM(D41:D42)</f>
        <v>511536.2728241756</v>
      </c>
      <c r="E43" s="109" t="s">
        <v>82</v>
      </c>
      <c r="F43" s="109"/>
      <c r="G43" s="7"/>
    </row>
    <row r="44" spans="2:16" x14ac:dyDescent="0.25">
      <c r="C44" s="6" t="s">
        <v>10</v>
      </c>
      <c r="D44" s="222">
        <v>-30716.880000000001</v>
      </c>
      <c r="E44" s="33"/>
      <c r="F44" s="33"/>
    </row>
    <row r="45" spans="2:16" x14ac:dyDescent="0.25">
      <c r="B45" s="149"/>
      <c r="C45" s="148" t="s">
        <v>96</v>
      </c>
      <c r="D45" s="230">
        <f>+SUM(D43:D44)</f>
        <v>480819.39282417559</v>
      </c>
      <c r="E45" s="109" t="s">
        <v>82</v>
      </c>
      <c r="F45" s="109"/>
    </row>
    <row r="46" spans="2:16" x14ac:dyDescent="0.25">
      <c r="C46" s="6" t="s">
        <v>1</v>
      </c>
      <c r="D46" s="222">
        <v>-85701</v>
      </c>
      <c r="E46" s="35"/>
      <c r="F46" s="35"/>
    </row>
    <row r="47" spans="2:16" s="18" customFormat="1" x14ac:dyDescent="0.25">
      <c r="B47" s="27"/>
      <c r="C47" s="93" t="s">
        <v>40</v>
      </c>
      <c r="D47" s="232"/>
      <c r="E47" s="35"/>
      <c r="F47" s="35"/>
    </row>
    <row r="48" spans="2:16" ht="15.75" thickBot="1" x14ac:dyDescent="0.3">
      <c r="B48" s="150"/>
      <c r="C48" s="151" t="s">
        <v>2</v>
      </c>
      <c r="D48" s="233">
        <f>+SUM(D45:D46)</f>
        <v>395118.39282417559</v>
      </c>
      <c r="E48" s="109" t="s">
        <v>82</v>
      </c>
      <c r="F48" s="109"/>
      <c r="I48" s="18"/>
    </row>
    <row r="49" spans="3:3" x14ac:dyDescent="0.25"/>
    <row r="50" spans="3:3" x14ac:dyDescent="0.25"/>
    <row r="51" spans="3:3" hidden="1" x14ac:dyDescent="0.25"/>
    <row r="52" spans="3:3" hidden="1" x14ac:dyDescent="0.25"/>
    <row r="53" spans="3:3" hidden="1" x14ac:dyDescent="0.25"/>
    <row r="54" spans="3:3" hidden="1" x14ac:dyDescent="0.25"/>
    <row r="55" spans="3:3" hidden="1" x14ac:dyDescent="0.25"/>
    <row r="56" spans="3:3" hidden="1" x14ac:dyDescent="0.25"/>
    <row r="57" spans="3:3" hidden="1" x14ac:dyDescent="0.25"/>
    <row r="58" spans="3:3" hidden="1" x14ac:dyDescent="0.25">
      <c r="C58" t="s">
        <v>90</v>
      </c>
    </row>
    <row r="59" spans="3:3" hidden="1" x14ac:dyDescent="0.25">
      <c r="C59">
        <v>2019</v>
      </c>
    </row>
    <row r="60" spans="3:3" hidden="1" x14ac:dyDescent="0.25">
      <c r="C60" s="18">
        <v>2020</v>
      </c>
    </row>
    <row r="61" spans="3:3" hidden="1" x14ac:dyDescent="0.25">
      <c r="C61" s="18">
        <v>2021</v>
      </c>
    </row>
    <row r="62" spans="3:3" hidden="1" x14ac:dyDescent="0.25">
      <c r="C62" s="18">
        <v>2022</v>
      </c>
    </row>
    <row r="63" spans="3:3" hidden="1" x14ac:dyDescent="0.25">
      <c r="C63" s="18">
        <v>2023</v>
      </c>
    </row>
    <row r="64" spans="3:3" hidden="1" x14ac:dyDescent="0.25">
      <c r="C64" s="18">
        <v>2024</v>
      </c>
    </row>
    <row r="65" spans="3:3" hidden="1" x14ac:dyDescent="0.25">
      <c r="C65" s="18">
        <v>2025</v>
      </c>
    </row>
    <row r="66" spans="3:3" hidden="1" x14ac:dyDescent="0.25">
      <c r="C66" s="18">
        <v>2026</v>
      </c>
    </row>
    <row r="67" spans="3:3" hidden="1" x14ac:dyDescent="0.25">
      <c r="C67" s="18">
        <v>2027</v>
      </c>
    </row>
    <row r="68" spans="3:3" hidden="1" x14ac:dyDescent="0.25">
      <c r="C68" s="18">
        <v>2028</v>
      </c>
    </row>
    <row r="69" spans="3:3" hidden="1" x14ac:dyDescent="0.25">
      <c r="C69" s="18">
        <v>2029</v>
      </c>
    </row>
    <row r="70" spans="3:3" hidden="1" x14ac:dyDescent="0.25">
      <c r="C70" s="18">
        <v>2030</v>
      </c>
    </row>
    <row r="71" spans="3:3" hidden="1" x14ac:dyDescent="0.25">
      <c r="C71" s="18">
        <v>2031</v>
      </c>
    </row>
    <row r="72" spans="3:3" hidden="1" x14ac:dyDescent="0.25">
      <c r="C72" s="18">
        <v>2032</v>
      </c>
    </row>
    <row r="73" spans="3:3" hidden="1" x14ac:dyDescent="0.25">
      <c r="C73" s="18">
        <v>2033</v>
      </c>
    </row>
    <row r="74" spans="3:3" hidden="1" x14ac:dyDescent="0.25">
      <c r="C74" s="18">
        <v>2034</v>
      </c>
    </row>
    <row r="75" spans="3:3" hidden="1" x14ac:dyDescent="0.25">
      <c r="C75" s="18">
        <v>2035</v>
      </c>
    </row>
    <row r="76" spans="3:3" x14ac:dyDescent="0.25"/>
    <row r="77" spans="3:3" x14ac:dyDescent="0.25"/>
    <row r="78" spans="3:3" x14ac:dyDescent="0.25"/>
    <row r="79" spans="3:3" x14ac:dyDescent="0.25"/>
    <row r="80" spans="3:3" x14ac:dyDescent="0.25"/>
    <row r="81" x14ac:dyDescent="0.25"/>
  </sheetData>
  <sheetProtection sheet="1" objects="1" scenarios="1"/>
  <mergeCells count="3">
    <mergeCell ref="G29:O29"/>
    <mergeCell ref="G39:H39"/>
    <mergeCell ref="I8:P8"/>
  </mergeCells>
  <conditionalFormatting sqref="D30:D33 D26:D27 D44">
    <cfRule type="expression" dxfId="149" priority="130">
      <formula>$D$8="USD"</formula>
    </cfRule>
    <cfRule type="expression" dxfId="148" priority="131">
      <formula>$D$8="$"</formula>
    </cfRule>
  </conditionalFormatting>
  <conditionalFormatting sqref="D37:D38">
    <cfRule type="expression" dxfId="147" priority="104">
      <formula>$D$8="USD"</formula>
    </cfRule>
    <cfRule type="expression" dxfId="146" priority="105">
      <formula>$D$8="$"</formula>
    </cfRule>
  </conditionalFormatting>
  <conditionalFormatting sqref="D40">
    <cfRule type="expression" dxfId="145" priority="102">
      <formula>$D$8="USD"</formula>
    </cfRule>
    <cfRule type="expression" dxfId="144" priority="103">
      <formula>$D$8="$"</formula>
    </cfRule>
  </conditionalFormatting>
  <conditionalFormatting sqref="D48">
    <cfRule type="expression" dxfId="143" priority="106">
      <formula>$D$8="USD"</formula>
    </cfRule>
    <cfRule type="expression" dxfId="142" priority="107">
      <formula>$D$8="$"</formula>
    </cfRule>
  </conditionalFormatting>
  <conditionalFormatting sqref="D34">
    <cfRule type="expression" dxfId="141" priority="114">
      <formula>$D$8="USD"</formula>
    </cfRule>
    <cfRule type="expression" dxfId="140" priority="115">
      <formula>$D$8="$"</formula>
    </cfRule>
  </conditionalFormatting>
  <conditionalFormatting sqref="D42">
    <cfRule type="expression" dxfId="139" priority="100">
      <formula>$D$8="USD"</formula>
    </cfRule>
    <cfRule type="expression" dxfId="138" priority="101">
      <formula>$D$8="$"</formula>
    </cfRule>
  </conditionalFormatting>
  <conditionalFormatting sqref="D46">
    <cfRule type="expression" dxfId="137" priority="90">
      <formula>$D$8="USD"</formula>
    </cfRule>
    <cfRule type="expression" dxfId="136" priority="91">
      <formula>$D$8="$"</formula>
    </cfRule>
  </conditionalFormatting>
  <conditionalFormatting sqref="D18:D21">
    <cfRule type="expression" dxfId="135" priority="63">
      <formula>$D$8="USD"</formula>
    </cfRule>
    <cfRule type="expression" dxfId="134" priority="64">
      <formula>$D$8="$"</formula>
    </cfRule>
  </conditionalFormatting>
  <conditionalFormatting sqref="D35">
    <cfRule type="expression" dxfId="133" priority="79">
      <formula>$D$8="USD"</formula>
    </cfRule>
    <cfRule type="expression" dxfId="132" priority="80">
      <formula>$D$8="$"</formula>
    </cfRule>
  </conditionalFormatting>
  <conditionalFormatting sqref="D36">
    <cfRule type="expression" dxfId="131" priority="77">
      <formula>$D$8="USD"</formula>
    </cfRule>
    <cfRule type="expression" dxfId="130" priority="78">
      <formula>$D$8="$"</formula>
    </cfRule>
  </conditionalFormatting>
  <conditionalFormatting sqref="D39">
    <cfRule type="expression" dxfId="129" priority="75">
      <formula>$D$8="USD"</formula>
    </cfRule>
    <cfRule type="expression" dxfId="128" priority="76">
      <formula>$D$8="$"</formula>
    </cfRule>
  </conditionalFormatting>
  <conditionalFormatting sqref="D41">
    <cfRule type="expression" dxfId="127" priority="73">
      <formula>$D$8="USD"</formula>
    </cfRule>
    <cfRule type="expression" dxfId="126" priority="74">
      <formula>$D$8="$"</formula>
    </cfRule>
  </conditionalFormatting>
  <conditionalFormatting sqref="D43">
    <cfRule type="expression" dxfId="125" priority="71">
      <formula>$D$8="USD"</formula>
    </cfRule>
    <cfRule type="expression" dxfId="124" priority="72">
      <formula>$D$8="$"</formula>
    </cfRule>
  </conditionalFormatting>
  <conditionalFormatting sqref="D45">
    <cfRule type="expression" dxfId="123" priority="69">
      <formula>$D$8="USD"</formula>
    </cfRule>
    <cfRule type="expression" dxfId="122" priority="70">
      <formula>$D$8="$"</formula>
    </cfRule>
  </conditionalFormatting>
  <conditionalFormatting sqref="I38:O38">
    <cfRule type="expression" dxfId="121" priority="67">
      <formula>$D$8="USD"</formula>
    </cfRule>
    <cfRule type="expression" dxfId="120" priority="68">
      <formula>$D$8="$"</formula>
    </cfRule>
  </conditionalFormatting>
  <conditionalFormatting sqref="D11:D16 D22:E23">
    <cfRule type="expression" dxfId="119" priority="65">
      <formula>$D$8="USD"</formula>
    </cfRule>
    <cfRule type="expression" dxfId="118" priority="66">
      <formula>$D$8="$"</formula>
    </cfRule>
  </conditionalFormatting>
  <conditionalFormatting sqref="E11:E14">
    <cfRule type="expression" dxfId="117" priority="61">
      <formula>$D$8="USD"</formula>
    </cfRule>
    <cfRule type="expression" dxfId="116" priority="62">
      <formula>$D$8="$"</formula>
    </cfRule>
  </conditionalFormatting>
  <conditionalFormatting sqref="D17:E17">
    <cfRule type="expression" dxfId="115" priority="57">
      <formula>$D$8="USD"</formula>
    </cfRule>
    <cfRule type="expression" dxfId="114" priority="58">
      <formula>$D$8="$"</formula>
    </cfRule>
  </conditionalFormatting>
  <conditionalFormatting sqref="K11:L23">
    <cfRule type="expression" dxfId="113" priority="49">
      <formula>$D$8="USD"</formula>
    </cfRule>
    <cfRule type="expression" dxfId="112" priority="50">
      <formula>$D$8="$"</formula>
    </cfRule>
  </conditionalFormatting>
  <conditionalFormatting sqref="O11:O16">
    <cfRule type="expression" dxfId="111" priority="47">
      <formula>$D$8="USD"</formula>
    </cfRule>
    <cfRule type="expression" dxfId="110" priority="48">
      <formula>$D$8="$"</formula>
    </cfRule>
  </conditionalFormatting>
  <conditionalFormatting sqref="I11:I23">
    <cfRule type="expression" dxfId="109" priority="51">
      <formula>$D$8="USD"</formula>
    </cfRule>
    <cfRule type="expression" dxfId="108" priority="52">
      <formula>$D$8="$"</formula>
    </cfRule>
  </conditionalFormatting>
  <conditionalFormatting sqref="H34:H35">
    <cfRule type="expression" dxfId="107" priority="43">
      <formula>$D$8="USD"</formula>
    </cfRule>
    <cfRule type="expression" dxfId="106" priority="44">
      <formula>$D$8="$"</formula>
    </cfRule>
  </conditionalFormatting>
  <conditionalFormatting sqref="H36:H37">
    <cfRule type="expression" dxfId="105" priority="41">
      <formula>$D$8="USD"</formula>
    </cfRule>
    <cfRule type="expression" dxfId="104" priority="42">
      <formula>$D$8="$"</formula>
    </cfRule>
  </conditionalFormatting>
  <conditionalFormatting sqref="I34:O35">
    <cfRule type="expression" dxfId="103" priority="39">
      <formula>$D$8="USD"</formula>
    </cfRule>
    <cfRule type="expression" dxfId="102" priority="40">
      <formula>$D$8="$"</formula>
    </cfRule>
  </conditionalFormatting>
  <conditionalFormatting sqref="I36:O37">
    <cfRule type="expression" dxfId="101" priority="37">
      <formula>$D$8="USD"</formula>
    </cfRule>
    <cfRule type="expression" dxfId="100" priority="38">
      <formula>$D$8="$"</formula>
    </cfRule>
  </conditionalFormatting>
  <conditionalFormatting sqref="H38">
    <cfRule type="expression" dxfId="99" priority="35">
      <formula>$D$8="USD"</formula>
    </cfRule>
    <cfRule type="expression" dxfId="98" priority="36">
      <formula>$D$8="$"</formula>
    </cfRule>
  </conditionalFormatting>
  <conditionalFormatting sqref="E24:F24">
    <cfRule type="expression" dxfId="97" priority="33">
      <formula>$D$8="USD"</formula>
    </cfRule>
    <cfRule type="expression" dxfId="96" priority="34">
      <formula>$D$8="$"</formula>
    </cfRule>
  </conditionalFormatting>
  <conditionalFormatting sqref="E16">
    <cfRule type="expression" dxfId="95" priority="29">
      <formula>$D$8="USD"</formula>
    </cfRule>
    <cfRule type="expression" dxfId="94" priority="30">
      <formula>$D$8="$"</formula>
    </cfRule>
  </conditionalFormatting>
  <conditionalFormatting sqref="E15">
    <cfRule type="expression" dxfId="93" priority="27">
      <formula>$D$8="USD"</formula>
    </cfRule>
    <cfRule type="expression" dxfId="92" priority="28">
      <formula>$D$8="$"</formula>
    </cfRule>
  </conditionalFormatting>
  <conditionalFormatting sqref="E18">
    <cfRule type="expression" dxfId="91" priority="25">
      <formula>$D$8="USD"</formula>
    </cfRule>
    <cfRule type="expression" dxfId="90" priority="26">
      <formula>$D$8="$"</formula>
    </cfRule>
  </conditionalFormatting>
  <conditionalFormatting sqref="E19">
    <cfRule type="expression" dxfId="89" priority="17">
      <formula>$D$8="USD"</formula>
    </cfRule>
    <cfRule type="expression" dxfId="88" priority="18">
      <formula>$D$8="$"</formula>
    </cfRule>
  </conditionalFormatting>
  <conditionalFormatting sqref="E20">
    <cfRule type="expression" dxfId="87" priority="15">
      <formula>$D$8="USD"</formula>
    </cfRule>
    <cfRule type="expression" dxfId="86" priority="16">
      <formula>$D$8="$"</formula>
    </cfRule>
  </conditionalFormatting>
  <conditionalFormatting sqref="E21">
    <cfRule type="expression" dxfId="85" priority="13">
      <formula>$D$8="USD"</formula>
    </cfRule>
    <cfRule type="expression" dxfId="84" priority="14">
      <formula>$D$8="$"</formula>
    </cfRule>
  </conditionalFormatting>
  <conditionalFormatting sqref="G15">
    <cfRule type="cellIs" dxfId="83" priority="11" operator="lessThan">
      <formula>0</formula>
    </cfRule>
    <cfRule type="cellIs" dxfId="82" priority="12" operator="greaterThan">
      <formula>0</formula>
    </cfRule>
  </conditionalFormatting>
  <conditionalFormatting sqref="G16">
    <cfRule type="cellIs" dxfId="81" priority="9" operator="lessThan">
      <formula>0</formula>
    </cfRule>
    <cfRule type="cellIs" dxfId="80" priority="10" operator="greaterThan">
      <formula>0</formula>
    </cfRule>
  </conditionalFormatting>
  <conditionalFormatting sqref="G18">
    <cfRule type="cellIs" dxfId="79" priority="7" operator="lessThan">
      <formula>0</formula>
    </cfRule>
    <cfRule type="cellIs" dxfId="78" priority="8" operator="greaterThan">
      <formula>0</formula>
    </cfRule>
  </conditionalFormatting>
  <conditionalFormatting sqref="G19">
    <cfRule type="cellIs" dxfId="77" priority="5" operator="lessThan">
      <formula>0</formula>
    </cfRule>
    <cfRule type="cellIs" dxfId="76" priority="6" operator="greaterThan">
      <formula>0</formula>
    </cfRule>
  </conditionalFormatting>
  <conditionalFormatting sqref="G20">
    <cfRule type="cellIs" dxfId="75" priority="3" operator="lessThan">
      <formula>0</formula>
    </cfRule>
    <cfRule type="cellIs" dxfId="74" priority="4" operator="greaterThan">
      <formula>0</formula>
    </cfRule>
  </conditionalFormatting>
  <conditionalFormatting sqref="G21">
    <cfRule type="cellIs" dxfId="73" priority="1" operator="lessThan">
      <formula>0</formula>
    </cfRule>
    <cfRule type="cellIs" dxfId="72" priority="2" operator="greaterThan">
      <formula>0</formula>
    </cfRule>
  </conditionalFormatting>
  <dataValidations disablePrompts="1" xWindow="506" yWindow="412" count="45">
    <dataValidation type="list" operator="lessThanOrEqual" allowBlank="1" showInputMessage="1" showErrorMessage="1" errorTitle="EGRESOS" error="Los egresos deben registrarse en valores negativos (-)_x000a_" promptTitle="Elasticidad de los retiros" prompt="Se refiere a la flexibilidad con que pueden hacerse los retiros: Muy elástico (pueden reducirse hasta en un 70%); Elástico (pueden reducirse entre el 50 y el 70%); Inelástico mensual (se hacen mensualmente); Inelástico anual (se hacen al finalizar el año)" sqref="D47" xr:uid="{00000000-0002-0000-0100-000000000000}">
      <formula1>"Muy elástico (&gt;70%), Elástico (50 a 70%), Inelástico (anual), Inelástico (mensual)"</formula1>
    </dataValidation>
    <dataValidation type="custom" operator="lessThanOrEqual" allowBlank="1" showInputMessage="1" showErrorMessage="1" errorTitle="EGRESOS" error="Los egresos deben registrarse en valores negativos (-)_x000a_" sqref="D32:D33 D40 D37:D38 D46 D35" xr:uid="{00000000-0002-0000-0100-000001000000}">
      <formula1>D32&lt;0</formula1>
    </dataValidation>
    <dataValidation type="list" allowBlank="1" showInputMessage="1" showErrorMessage="1" promptTitle="SELECCIONAR MONEDA" prompt="La carga se hace en $ o USD, la distinción de monedas es para ver la moneda del Activo o Pasivo." sqref="D8" xr:uid="{00000000-0002-0000-0100-000002000000}">
      <formula1>$B$11:$B$12</formula1>
    </dataValidation>
    <dataValidation allowBlank="1" showInputMessage="1" showErrorMessage="1" promptTitle="Activo Corriente (Pesificados)" prompt="Disponibilidades (caja y bancos, colocaciones financieras, etc.), Créditos (créditos por ventas y créditos fiscales) y Bienes de cambio (Stocks, almacenes, hacienda de invernada, sementeras)" sqref="D11" xr:uid="{00000000-0002-0000-0100-000003000000}"/>
    <dataValidation allowBlank="1" showInputMessage="1" showErrorMessage="1" promptTitle="Activo Corriente (Dolarizados)" prompt="Disponibilidades (caja y bancos, colocaciones financieras, etc.), Créditos (créditos por ventas y créditos fiscales) y Bienes de cambio (Stocks, almacenes, hacienda de invernada, sementeras)" sqref="D12" xr:uid="{00000000-0002-0000-0100-000004000000}"/>
    <dataValidation allowBlank="1" showInputMessage="1" showErrorMessage="1" promptTitle="Activo No Corriente (Pesificado)" prompt="Maquinarias, Mejoras, Praderas, Hacienda de cría y tambo, y TIERRA (lo más aproximado al valor del mercado actual)" sqref="D15" xr:uid="{00000000-0002-0000-0100-000005000000}"/>
    <dataValidation allowBlank="1" showInputMessage="1" showErrorMessage="1" promptTitle="Activo No Corriente (Dolarizado)" prompt="Maquinarias, Mejoras, Praderas, Hacienda de cría y tambo, y TIERRA (lo más aproximado al valor del mercado actual)" sqref="E15 D16:E16" xr:uid="{00000000-0002-0000-0100-000006000000}"/>
    <dataValidation allowBlank="1" showInputMessage="1" showErrorMessage="1" promptTitle="Pasivo Corriente (Pesificado)" prompt="Deudas de corto plazo (son las deudas o cuotas que tienen vencimiento antes de finalizar el ejercicio" sqref="D18" xr:uid="{00000000-0002-0000-0100-000007000000}"/>
    <dataValidation allowBlank="1" showInputMessage="1" showErrorMessage="1" promptTitle="Pasivo Corriente (Dolarizado)" prompt="Deudas de corto plazo (son las deudas o cuotas que tienen vencimiento antes de finalizar el ejercicio" sqref="D19" xr:uid="{00000000-0002-0000-0100-000008000000}"/>
    <dataValidation allowBlank="1" showInputMessage="1" showErrorMessage="1" promptTitle="Pasivo No Corriente (Pesificado)" prompt="Deudas de largo plazo (son las deudas o cuotas que tienen vencimiento luego de finalizar el ejercicio" sqref="D20" xr:uid="{00000000-0002-0000-0100-000009000000}"/>
    <dataValidation allowBlank="1" showInputMessage="1" showErrorMessage="1" promptTitle="Pasivo No Corriente (Dolarizado)" prompt="Deudas de largo plazo (son las deudas o cuotas que tienen vencimiento luego de finalizar el ejercicio" sqref="D21" xr:uid="{00000000-0002-0000-0100-00000A000000}"/>
    <dataValidation allowBlank="1" showInputMessage="1" showErrorMessage="1" promptTitle="Origen y Aplicación de Fondos" prompt="Proporciona información respecto de las entradas, salidas y cambio neto en el efectivo de las diferentes actividades de la empresa durante un período de tiempo." sqref="M10" xr:uid="{00000000-0002-0000-0100-00000B000000}"/>
    <dataValidation allowBlank="1" showInputMessage="1" showErrorMessage="1" promptTitle="Financiamiento Neto" prompt="Estimar el total del costo financiero del ejercicio (no solo los intereses, sino todos los costos asociados al financiemiento: hipotecas, prendas, seguros, etc.)_x000a__x000a_Intereses pagados (Costo del crédito) - Intereses cobrados" sqref="D42" xr:uid="{00000000-0002-0000-0100-00000C000000}"/>
    <dataValidation type="custom" operator="lessThanOrEqual" allowBlank="1" showInputMessage="1" showErrorMessage="1" errorTitle="EGRESOS" error="Los egresos deben registrarse en valores negativos (-)_x000a_" promptTitle="Impuestos (Ganancias y BBPP)" prompt="Estimación del impuesto que se pagará entre anticipos, retenciones y saldo de la Declaración Jurada. Planificación fiscal." sqref="D44" xr:uid="{00000000-0002-0000-0100-00000D000000}">
      <formula1>D44&lt;0</formula1>
    </dataValidation>
    <dataValidation allowBlank="1" showInputMessage="1" showErrorMessage="1" promptTitle="CRECIMIENTO" prompt="Si hubiera Crecimiento Negativo (decrecimiento), el problema será de mayor gravedad según se haga negativo a nivel de la Utilidad, el Resultado por Producción, el Resultado Operativo o el Margen Bruto" sqref="E48:F48" xr:uid="{00000000-0002-0000-0100-00000E000000}"/>
    <dataValidation operator="lessThanOrEqual" allowBlank="1" showInputMessage="1" showErrorMessage="1" errorTitle="EGRESOS" error="Los egresos deben registrarse en valores negativos (-)_x000a_" sqref="D28" xr:uid="{00000000-0002-0000-0100-00000F000000}"/>
    <dataValidation type="list" allowBlank="1" showInputMessage="1" showErrorMessage="1" promptTitle="PERÍODO DE CARGA" prompt="Para la carga de los datos patrimoniales y económicos utilizar los valores del ejercicio (período de un año que coinicide con la fecha de cierre de balance) no la campaña." sqref="D7" xr:uid="{00000000-0002-0000-0100-000010000000}">
      <formula1>$C$58:$C$75</formula1>
    </dataValidation>
    <dataValidation operator="lessThanOrEqual" allowBlank="1" showInputMessage="1" showErrorMessage="1" errorTitle="EGRESOS" error="Los egresos deben registrarse en valores negativos (-)_x000a_" prompt="Son aquellos que se obtienen por la producción y venta de bienes de cambio, bienes de uso y servicios. " sqref="D30:D31" xr:uid="{00000000-0002-0000-0100-000011000000}"/>
    <dataValidation allowBlank="1" showInputMessage="1" showErrorMessage="1" promptTitle="MARGEN DE CONTRIBUCIÓN" prompt="Este ratio indica cual es la contribución de cada unidad de negocio y de cada actividad a la_x000a_generación de resultados en la empresa antes de pagar costos indirectos." sqref="E36:F36" xr:uid="{00000000-0002-0000-0100-000012000000}"/>
    <dataValidation allowBlank="1" showInputMessage="1" showErrorMessage="1" promptTitle="EBITDA" prompt="Es uno de los indicadores más utilizados en las empresas. Explica su performance operativa en términos económicos por el hecho de realizar negocios." sqref="E39:F39" xr:uid="{00000000-0002-0000-0100-000013000000}"/>
    <dataValidation allowBlank="1" showInputMessage="1" showErrorMessage="1" promptTitle="BAII" prompt="Es un indicador que muestra el peso de las amortizaciones y el resultado de la tenencia de bienes de uso sobre el resultado operativo. Este es un indicador importante en empresas que poseen muchos bienes de uso amortizables." sqref="E41" xr:uid="{00000000-0002-0000-0100-000014000000}"/>
    <dataValidation allowBlank="1" showInputMessage="1" showErrorMessage="1" promptTitle="BAI" prompt=" Este indicador muestra el peso que tienen los resultados financieros en la dinámica de la empresa. Evidencia su performance cuando debe financiar proyectos y gestionar su liquidez." sqref="E43:F43" xr:uid="{00000000-0002-0000-0100-000015000000}"/>
    <dataValidation allowBlank="1" showInputMessage="1" showErrorMessage="1" promptTitle="BENEFICIO NETO" prompt="Permite conocer el resultado de la gestión fiscal. Los impuestos que se consideran a este nivel son aquellos_x000a_que no se han podido asignar directamente a las unidades de negocios. " sqref="E45:F45" xr:uid="{00000000-0002-0000-0100-000016000000}"/>
    <dataValidation allowBlank="1" showInputMessage="1" showErrorMessage="1" promptTitle="Activo Corriente Disponible $" prompt="Se utiliza para calcular la Prueba Ácida. Este dato no se sumará al ActivoCorriente Total._x000a__x000a_Estimar: Bienes de cambio fácilmente liquidables para hacer frente a los compromisos al momento de máxima necesidad financiera" sqref="D13" xr:uid="{00000000-0002-0000-0100-000017000000}"/>
    <dataValidation allowBlank="1" showInputMessage="1" showErrorMessage="1" promptTitle="Activo Corriente Disponible U$S" prompt="Se utiliza para calcular la Prueba Ácida. Este dato no se sumará al ActivoCorriente Total._x000a__x000a_Estimar: Bienes de cambio fácilmente liquidables para hacer frente a los compromisos al momento de máxima necesidad financiera." sqref="D14" xr:uid="{00000000-0002-0000-0100-000018000000}"/>
    <dataValidation allowBlank="1" showInputMessage="1" showErrorMessage="1" promptTitle="ACTIVIDAD AGRÍCOLA" prompt="Porcentaje de los ingresos que aporta la agricultura." sqref="I31:O32" xr:uid="{00000000-0002-0000-0100-000019000000}"/>
    <dataValidation operator="lessThanOrEqual" allowBlank="1" showInputMessage="1" showErrorMessage="1" errorTitle="EGRESOS" error="Los egresos deben registrarse en valores negativos (-)_x000a_" prompt="Este valor es recomendación que salga del Presupuesto Financiero." sqref="D26:D27" xr:uid="{00000000-0002-0000-0100-00001A000000}"/>
    <dataValidation allowBlank="1" showInputMessage="1" showErrorMessage="1" prompt="Es la diferencia entre la suma del  patrimonio neto al inicio y el crecimiento, menos activo NO corriente al cierre menos los pasivos al cierre. Este número representa el activo corriente al cierre, debemos poner como distribuirlo en términos de monedas." sqref="G23" xr:uid="{00000000-0002-0000-0100-00001B000000}"/>
    <dataValidation allowBlank="1" showInputMessage="1" showErrorMessage="1" promptTitle="ACTIVO CORRIENTE" prompt="Colocar en que proporción de monedas colocar el monto diferencial de la celda G23. Entre las dos deberán sumar 100%." sqref="H11" xr:uid="{00000000-0002-0000-0100-00001C000000}"/>
    <dataValidation allowBlank="1" showInputMessage="1" showErrorMessage="1" promptTitle="SIMULACIÓN DE INVERSIONES" prompt="Se podrán simular inversiones en los Activos Corrientes y variaciones en los Pasivos. Se entiende que se pagan los activos corrientes, solo hay que colocar la distribución de monedas. _x000a_Se puede simular tambien en &quot;Tablero&quot;" sqref="H10" xr:uid="{00000000-0002-0000-0100-00001D000000}"/>
    <dataValidation allowBlank="1" showInputMessage="1" showErrorMessage="1" promptTitle="INGRESOS NETOS AGRÍCOOLAS" prompt="Cargar ingresos en pesos en la moneda que corresponda_x000a_" sqref="I34" xr:uid="{00000000-0002-0000-0100-00001E000000}"/>
    <dataValidation allowBlank="1" showInputMessage="1" showErrorMessage="1" promptTitle="INGRESOS NETOS AGRÍCOLAS" prompt="Cargar ingresos agrícolas en dólares en la moneda que corresponda_x000a_" sqref="I35" xr:uid="{00000000-0002-0000-0100-00001F000000}"/>
    <dataValidation allowBlank="1" showInputMessage="1" showErrorMessage="1" promptTitle="INGRESOS NETOS GANADEROS" prompt="Cargar ingresos en pesos en la moneda que corresponda" sqref="J34" xr:uid="{00000000-0002-0000-0100-000020000000}"/>
    <dataValidation allowBlank="1" showInputMessage="1" showErrorMessage="1" promptTitle="INGRESOS NETOS GANADEROS" prompt="Cargar ingresos en dólares en la moneda que corresponda" sqref="J35" xr:uid="{00000000-0002-0000-0100-000021000000}"/>
    <dataValidation allowBlank="1" showInputMessage="1" showErrorMessage="1" promptTitle="INGRESOS NETOS MAQUINARIA" prompt="Cargar ingresos en pesos en la moneda que corresponda" sqref="L34" xr:uid="{00000000-0002-0000-0100-000022000000}"/>
    <dataValidation allowBlank="1" showInputMessage="1" showErrorMessage="1" promptTitle="INGRESOS NETOS MAQUINARIA" prompt="Cargar ingresos en dólares en la moneda que corresponda" sqref="L35" xr:uid="{00000000-0002-0000-0100-000023000000}"/>
    <dataValidation allowBlank="1" showInputMessage="1" showErrorMessage="1" promptTitle="INGRESOS NETOS INMOBILIARIOS" prompt="Cargar ingresos en pesos en la moneda que corresponda" sqref="M34" xr:uid="{00000000-0002-0000-0100-000024000000}"/>
    <dataValidation allowBlank="1" showInputMessage="1" showErrorMessage="1" promptTitle="INGRESOS NETOS INMOBILIARIOS" prompt="Cargar ingresos en dólares en la moneda que corresponda" sqref="M35" xr:uid="{00000000-0002-0000-0100-000025000000}"/>
    <dataValidation allowBlank="1" showInputMessage="1" showErrorMessage="1" promptTitle="INGRESO NETO GERENCIAMIENTO" prompt="Cargar ingresos en pesos en la moneda que corresponda" sqref="N34" xr:uid="{00000000-0002-0000-0100-000026000000}"/>
    <dataValidation allowBlank="1" showInputMessage="1" showErrorMessage="1" promptTitle="INGRESOS NETOS GERENCIAMIENTO" prompt="Cargar ingresos en dólares en la moneda que corresponda" sqref="N35" xr:uid="{00000000-0002-0000-0100-000027000000}"/>
    <dataValidation allowBlank="1" showInputMessage="1" showErrorMessage="1" promptTitle="INGRESOS NETO OTRAS ACTIVIDADES" prompt="Cargar ingresos en pesos en la moneda que corresponda" sqref="O34" xr:uid="{00000000-0002-0000-0100-000028000000}"/>
    <dataValidation allowBlank="1" showInputMessage="1" showErrorMessage="1" promptTitle="INGRESOS NETOS OTRAS ACTIVIDADES" prompt="Cargar ingresos en dólares en la moneda que corresponda" sqref="O35" xr:uid="{00000000-0002-0000-0100-000029000000}"/>
    <dataValidation allowBlank="1" showInputMessage="1" showErrorMessage="1" promptTitle="GASTOS DIRECTOS EN PESOS" prompt="Cargar gastos directos en pesos en la moneda que corresponda" sqref="I36:O36" xr:uid="{00000000-0002-0000-0100-00002A000000}"/>
    <dataValidation allowBlank="1" showInputMessage="1" showErrorMessage="1" promptTitle="GASTAS DIRECTOS EN DÓLARES" prompt="Cargar gastos directos en dólares en la moneda que corresponda" sqref="I37:O37" xr:uid="{00000000-0002-0000-0100-00002B000000}"/>
    <dataValidation allowBlank="1" showInputMessage="1" showErrorMessage="1" promptTitle="OPCIONAL" prompt="En caso de no querer cargar el detalle de cada actividad, ingresar el total de los ingresos y gastos en una actividad." sqref="P29" xr:uid="{00000000-0002-0000-0100-00002C000000}"/>
  </dataValidations>
  <pageMargins left="0.7" right="0.7" top="0.75" bottom="0.75" header="0.3" footer="0.3"/>
  <pageSetup orientation="portrait" r:id="rId1"/>
  <ignoredErrors>
    <ignoredError sqref="F19:F20"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052" r:id="rId4" name="Scroll Bar 4">
              <controlPr defaultSize="0" autoPict="0">
                <anchor moveWithCells="1">
                  <from>
                    <xdr:col>5</xdr:col>
                    <xdr:colOff>361950</xdr:colOff>
                    <xdr:row>14</xdr:row>
                    <xdr:rowOff>9525</xdr:rowOff>
                  </from>
                  <to>
                    <xdr:col>6</xdr:col>
                    <xdr:colOff>685800</xdr:colOff>
                    <xdr:row>15</xdr:row>
                    <xdr:rowOff>0</xdr:rowOff>
                  </to>
                </anchor>
              </controlPr>
            </control>
          </mc:Choice>
        </mc:AlternateContent>
        <mc:AlternateContent xmlns:mc="http://schemas.openxmlformats.org/markup-compatibility/2006">
          <mc:Choice Requires="x14">
            <control shapeId="2054" r:id="rId5" name="Scroll Bar 6">
              <controlPr defaultSize="0" autoPict="0">
                <anchor moveWithCells="1">
                  <from>
                    <xdr:col>5</xdr:col>
                    <xdr:colOff>371475</xdr:colOff>
                    <xdr:row>17</xdr:row>
                    <xdr:rowOff>0</xdr:rowOff>
                  </from>
                  <to>
                    <xdr:col>6</xdr:col>
                    <xdr:colOff>695325</xdr:colOff>
                    <xdr:row>17</xdr:row>
                    <xdr:rowOff>238125</xdr:rowOff>
                  </to>
                </anchor>
              </controlPr>
            </control>
          </mc:Choice>
        </mc:AlternateContent>
        <mc:AlternateContent xmlns:mc="http://schemas.openxmlformats.org/markup-compatibility/2006">
          <mc:Choice Requires="x14">
            <control shapeId="2056" r:id="rId6" name="Scroll Bar 8">
              <controlPr defaultSize="0" autoPict="0">
                <anchor moveWithCells="1">
                  <from>
                    <xdr:col>5</xdr:col>
                    <xdr:colOff>361950</xdr:colOff>
                    <xdr:row>18</xdr:row>
                    <xdr:rowOff>238125</xdr:rowOff>
                  </from>
                  <to>
                    <xdr:col>6</xdr:col>
                    <xdr:colOff>685800</xdr:colOff>
                    <xdr:row>19</xdr:row>
                    <xdr:rowOff>238125</xdr:rowOff>
                  </to>
                </anchor>
              </controlPr>
            </control>
          </mc:Choice>
        </mc:AlternateContent>
        <mc:AlternateContent xmlns:mc="http://schemas.openxmlformats.org/markup-compatibility/2006">
          <mc:Choice Requires="x14">
            <control shapeId="2064" r:id="rId7" name="Scroll Bar 16">
              <controlPr defaultSize="0" autoPict="0">
                <anchor moveWithCells="1">
                  <from>
                    <xdr:col>5</xdr:col>
                    <xdr:colOff>361950</xdr:colOff>
                    <xdr:row>15</xdr:row>
                    <xdr:rowOff>9525</xdr:rowOff>
                  </from>
                  <to>
                    <xdr:col>6</xdr:col>
                    <xdr:colOff>685800</xdr:colOff>
                    <xdr:row>16</xdr:row>
                    <xdr:rowOff>0</xdr:rowOff>
                  </to>
                </anchor>
              </controlPr>
            </control>
          </mc:Choice>
        </mc:AlternateContent>
        <mc:AlternateContent xmlns:mc="http://schemas.openxmlformats.org/markup-compatibility/2006">
          <mc:Choice Requires="x14">
            <control shapeId="2075" r:id="rId8" name="Scroll Bar 27">
              <controlPr defaultSize="0" autoPict="0">
                <anchor moveWithCells="1">
                  <from>
                    <xdr:col>6</xdr:col>
                    <xdr:colOff>0</xdr:colOff>
                    <xdr:row>20</xdr:row>
                    <xdr:rowOff>9525</xdr:rowOff>
                  </from>
                  <to>
                    <xdr:col>6</xdr:col>
                    <xdr:colOff>666750</xdr:colOff>
                    <xdr:row>21</xdr:row>
                    <xdr:rowOff>0</xdr:rowOff>
                  </to>
                </anchor>
              </controlPr>
            </control>
          </mc:Choice>
        </mc:AlternateContent>
        <mc:AlternateContent xmlns:mc="http://schemas.openxmlformats.org/markup-compatibility/2006">
          <mc:Choice Requires="x14">
            <control shapeId="2076" r:id="rId9" name="Scroll Bar 28">
              <controlPr defaultSize="0" autoPict="0">
                <anchor moveWithCells="1">
                  <from>
                    <xdr:col>5</xdr:col>
                    <xdr:colOff>361950</xdr:colOff>
                    <xdr:row>17</xdr:row>
                    <xdr:rowOff>247650</xdr:rowOff>
                  </from>
                  <to>
                    <xdr:col>6</xdr:col>
                    <xdr:colOff>685800</xdr:colOff>
                    <xdr:row>18</xdr:row>
                    <xdr:rowOff>238125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sheetPr>
  <dimension ref="A1:AI60"/>
  <sheetViews>
    <sheetView showGridLines="0" zoomScale="80" zoomScaleNormal="80" workbookViewId="0">
      <selection activeCell="H48" sqref="H48"/>
    </sheetView>
  </sheetViews>
  <sheetFormatPr defaultColWidth="11.42578125" defaultRowHeight="15" x14ac:dyDescent="0.25"/>
  <cols>
    <col min="1" max="1" width="6.28515625" customWidth="1"/>
    <col min="2" max="2" width="71.140625" bestFit="1" customWidth="1"/>
    <col min="3" max="3" width="19.7109375" bestFit="1" customWidth="1"/>
    <col min="4" max="4" width="5.140625" customWidth="1"/>
    <col min="5" max="5" width="5" customWidth="1"/>
    <col min="6" max="6" width="10" bestFit="1" customWidth="1"/>
    <col min="17" max="17" width="11.42578125" style="248"/>
    <col min="18" max="18" width="18" style="248" bestFit="1" customWidth="1"/>
    <col min="19" max="33" width="11.42578125" style="248"/>
    <col min="34" max="34" width="81.5703125" style="248" bestFit="1" customWidth="1"/>
    <col min="35" max="35" width="12.7109375" style="248" bestFit="1" customWidth="1"/>
    <col min="36" max="16384" width="11.42578125" style="248"/>
  </cols>
  <sheetData>
    <row r="1" spans="1:35" s="129" customFormat="1" x14ac:dyDescent="0.25">
      <c r="A1" s="22"/>
      <c r="B1" s="22"/>
      <c r="C1" s="22"/>
      <c r="D1" s="22"/>
      <c r="E1" s="22"/>
      <c r="F1" s="22"/>
      <c r="G1" s="22"/>
      <c r="H1" s="22"/>
      <c r="I1" s="22"/>
      <c r="J1" s="22"/>
      <c r="K1" s="22"/>
      <c r="L1" s="22"/>
      <c r="M1" s="22"/>
      <c r="N1" s="22"/>
      <c r="O1" s="22"/>
      <c r="P1" s="22"/>
    </row>
    <row r="2" spans="1:35" s="129" customFormat="1" x14ac:dyDescent="0.25">
      <c r="A2" s="22"/>
      <c r="B2" s="22"/>
      <c r="C2" s="41"/>
      <c r="D2" s="22"/>
      <c r="E2" s="22"/>
      <c r="F2" s="22"/>
      <c r="G2" s="22"/>
      <c r="H2" s="22"/>
      <c r="I2" s="22"/>
      <c r="J2" s="22"/>
      <c r="K2" s="22"/>
      <c r="L2" s="22"/>
      <c r="M2" s="22"/>
      <c r="N2" s="22"/>
      <c r="O2" s="22"/>
      <c r="P2" s="22"/>
    </row>
    <row r="3" spans="1:35" s="129" customFormat="1" ht="21" x14ac:dyDescent="0.35">
      <c r="A3" s="22"/>
      <c r="B3" s="22"/>
      <c r="C3" s="41"/>
      <c r="D3" s="42" t="s">
        <v>83</v>
      </c>
      <c r="E3" s="22"/>
      <c r="F3" s="22"/>
      <c r="G3" s="22"/>
      <c r="H3" s="22"/>
      <c r="I3" s="22"/>
      <c r="J3" s="22"/>
      <c r="K3" s="22"/>
      <c r="L3" s="22"/>
      <c r="M3" s="22"/>
      <c r="N3" s="22"/>
      <c r="O3" s="22"/>
      <c r="P3" s="22"/>
    </row>
    <row r="4" spans="1:35" s="129" customFormat="1" ht="21" x14ac:dyDescent="0.35">
      <c r="A4" s="22"/>
      <c r="B4" s="22"/>
      <c r="C4" s="41"/>
      <c r="D4" s="22"/>
      <c r="E4" s="22"/>
      <c r="F4" s="42"/>
      <c r="G4" s="22"/>
      <c r="H4" s="22"/>
      <c r="I4" s="22"/>
      <c r="J4" s="22"/>
      <c r="K4" s="22"/>
      <c r="L4" s="22"/>
      <c r="M4" s="22"/>
      <c r="N4" s="22"/>
      <c r="O4" s="22"/>
      <c r="P4" s="22"/>
    </row>
    <row r="5" spans="1:35" s="129" customFormat="1" ht="15.75" thickBot="1" x14ac:dyDescent="0.3">
      <c r="A5" s="88"/>
      <c r="B5" s="88"/>
      <c r="C5" s="89"/>
      <c r="D5" s="88"/>
      <c r="E5" s="88"/>
      <c r="F5" s="88"/>
      <c r="G5" s="88"/>
      <c r="H5" s="88"/>
      <c r="I5" s="88"/>
      <c r="J5" s="88"/>
      <c r="K5" s="88"/>
      <c r="L5" s="88"/>
      <c r="M5" s="88"/>
      <c r="N5" s="88"/>
      <c r="O5" s="88"/>
      <c r="P5" s="88"/>
    </row>
    <row r="6" spans="1:35" ht="24" customHeight="1" thickTop="1" x14ac:dyDescent="0.35">
      <c r="A6" s="5"/>
      <c r="B6" s="43" t="s">
        <v>84</v>
      </c>
      <c r="C6" s="19"/>
      <c r="D6" s="19"/>
      <c r="E6" s="3"/>
      <c r="F6" s="2"/>
      <c r="G6" s="18"/>
      <c r="H6" s="18"/>
      <c r="I6" s="18"/>
      <c r="J6" s="18"/>
      <c r="K6" s="18"/>
      <c r="L6" s="18"/>
      <c r="M6" s="18"/>
      <c r="N6" s="18"/>
      <c r="O6" s="18"/>
      <c r="P6" s="18"/>
    </row>
    <row r="7" spans="1:35" x14ac:dyDescent="0.25">
      <c r="A7" s="5"/>
      <c r="E7" s="3"/>
      <c r="F7" s="2"/>
      <c r="AH7" s="248" t="s">
        <v>177</v>
      </c>
    </row>
    <row r="8" spans="1:35" ht="15.75" thickBot="1" x14ac:dyDescent="0.3">
      <c r="B8" s="47" t="s">
        <v>28</v>
      </c>
      <c r="C8" s="44"/>
      <c r="E8" s="3"/>
      <c r="F8" s="2"/>
      <c r="AH8" s="265" t="s">
        <v>28</v>
      </c>
      <c r="AI8" s="266"/>
    </row>
    <row r="9" spans="1:35" x14ac:dyDescent="0.25">
      <c r="A9" s="5"/>
      <c r="B9" s="48" t="s">
        <v>162</v>
      </c>
      <c r="C9" s="49">
        <f>IF('Carga de datos'!D17=0,"",'Carga de datos'!D41/'Carga de datos'!D17)</f>
        <v>0.18664947357601921</v>
      </c>
      <c r="E9" s="182" t="s">
        <v>82</v>
      </c>
      <c r="F9" s="182" t="s">
        <v>148</v>
      </c>
      <c r="AH9" s="129" t="s">
        <v>162</v>
      </c>
      <c r="AI9" s="267">
        <f>IF('Carga de datos'!E17=0,"",'Carga de datos'!D41/'Carga de datos'!E17)</f>
        <v>0.16635627094589767</v>
      </c>
    </row>
    <row r="10" spans="1:35" x14ac:dyDescent="0.25">
      <c r="A10" s="5"/>
      <c r="B10" s="50" t="s">
        <v>14</v>
      </c>
      <c r="C10" s="49">
        <f>IF('Carga de datos'!D23=0,"",'Carga de datos'!D41/'Carga de datos'!D23)</f>
        <v>0.2230146982980766</v>
      </c>
      <c r="E10" s="182" t="s">
        <v>82</v>
      </c>
      <c r="F10" s="182" t="s">
        <v>148</v>
      </c>
      <c r="AH10" s="268" t="s">
        <v>14</v>
      </c>
      <c r="AI10" s="267">
        <f>IF('Carga de datos'!E23=0,"",'Carga de datos'!D41/'Carga de datos'!E23)</f>
        <v>0.19464461983433454</v>
      </c>
    </row>
    <row r="11" spans="1:35" x14ac:dyDescent="0.25">
      <c r="A11" s="5"/>
      <c r="B11" s="51" t="s">
        <v>27</v>
      </c>
      <c r="C11" s="52"/>
      <c r="E11" s="182" t="s">
        <v>82</v>
      </c>
      <c r="F11" s="18"/>
      <c r="S11" s="248" t="s">
        <v>163</v>
      </c>
      <c r="AH11" s="269" t="s">
        <v>27</v>
      </c>
      <c r="AI11" s="270"/>
    </row>
    <row r="12" spans="1:35" x14ac:dyDescent="0.25">
      <c r="A12" s="5"/>
      <c r="B12" s="48" t="s">
        <v>67</v>
      </c>
      <c r="C12" s="53">
        <f>IF('Carga de datos'!D43=0,"",'Carga de datos'!D43/('Carga de datos'!D30+'Carga de datos'!D31))</f>
        <v>0.26529795368445552</v>
      </c>
      <c r="D12" s="7"/>
      <c r="E12" s="182"/>
      <c r="F12" s="2"/>
      <c r="S12" s="248" t="s">
        <v>164</v>
      </c>
      <c r="T12" s="248" t="s">
        <v>165</v>
      </c>
      <c r="AH12" s="129" t="s">
        <v>172</v>
      </c>
      <c r="AI12" s="271">
        <f>IF('Carga de datos'!D43=0,"",'Carga de datos'!D43/('Carga de datos'!D30+'Carga de datos'!D31))</f>
        <v>0.26529795368445552</v>
      </c>
    </row>
    <row r="13" spans="1:35" x14ac:dyDescent="0.25">
      <c r="A13" s="5"/>
      <c r="B13" s="48" t="s">
        <v>68</v>
      </c>
      <c r="C13" s="53">
        <f>IF('Carga de datos'!D17=0,"",('Carga de datos'!D30+'Carga de datos'!D31)/'Carga de datos'!D17)</f>
        <v>0.59528741778120497</v>
      </c>
      <c r="D13" s="7"/>
      <c r="E13" s="182"/>
      <c r="F13" s="2"/>
      <c r="G13" s="18"/>
      <c r="R13" s="248" t="s">
        <v>169</v>
      </c>
      <c r="S13" s="272">
        <f>ROUND(+SUM('Carga de datos'!D11:D12)/('Carga de datos'!D17),2)</f>
        <v>0.1</v>
      </c>
      <c r="T13" s="272">
        <f>ROUND(SUM('Carga de datos'!D15:D16)/('Carga de datos'!D17),2)</f>
        <v>0.9</v>
      </c>
      <c r="U13" s="248">
        <f>+IF(S13=S17,R17,0)</f>
        <v>1</v>
      </c>
      <c r="AH13" s="129" t="s">
        <v>173</v>
      </c>
      <c r="AI13" s="271">
        <f>IF('Carga de datos'!E17=0,"",('Carga de datos'!D30+'Carga de datos'!D31)/'Carga de datos'!E17)</f>
        <v>0.53056562692506459</v>
      </c>
    </row>
    <row r="14" spans="1:35" x14ac:dyDescent="0.25">
      <c r="A14" s="5"/>
      <c r="B14" s="48" t="s">
        <v>69</v>
      </c>
      <c r="C14" s="53">
        <f>IF('Carga de datos'!D23=0,"",'Carga de datos'!D17/'Carga de datos'!D23)</f>
        <v>1.194831649001391</v>
      </c>
      <c r="E14" s="182"/>
      <c r="F14" s="2"/>
      <c r="S14" s="248" t="s">
        <v>170</v>
      </c>
      <c r="T14" s="258" t="s">
        <v>167</v>
      </c>
      <c r="U14" s="248" t="s">
        <v>171</v>
      </c>
      <c r="AH14" s="129" t="s">
        <v>174</v>
      </c>
      <c r="AI14" s="271">
        <f>IF('Carga de datos'!E23=0,"",'Carga de datos'!E17/'Carga de datos'!E23)</f>
        <v>1.1700467840953035</v>
      </c>
    </row>
    <row r="15" spans="1:35" ht="15.75" thickBot="1" x14ac:dyDescent="0.3">
      <c r="A15" s="5"/>
      <c r="B15" s="56" t="s">
        <v>64</v>
      </c>
      <c r="C15" s="57">
        <f>IF('Carga de datos'!D23=0,"",'Carga de datos'!D48/'Carga de datos'!D23)</f>
        <v>0.14575321161144009</v>
      </c>
      <c r="E15" s="182"/>
      <c r="F15" s="182" t="s">
        <v>148</v>
      </c>
      <c r="S15" s="273">
        <f>+VLOOKUP(U13,R16:W26,4,FALSE)</f>
        <v>5.3500000000000006E-2</v>
      </c>
      <c r="T15" s="273">
        <f>+VLOOKUP(U13,R16:W26,5,FALSE)</f>
        <v>1.2E-2</v>
      </c>
      <c r="U15" s="273">
        <f>+VLOOKUP(U13,R16:W26,6,FALSE)</f>
        <v>3.2750000000000001E-2</v>
      </c>
      <c r="AH15" s="274" t="s">
        <v>184</v>
      </c>
      <c r="AI15" s="275">
        <f>IF('Carga de datos'!E23=0,"",'Carga de datos'!D48/'Carga de datos'!E23)</f>
        <v>0.12721169806405871</v>
      </c>
    </row>
    <row r="16" spans="1:35" x14ac:dyDescent="0.25">
      <c r="A16" s="5"/>
      <c r="B16" s="48"/>
      <c r="C16" s="49"/>
      <c r="D16" s="18"/>
      <c r="E16" s="4"/>
      <c r="F16" s="2"/>
      <c r="G16" s="18"/>
      <c r="H16" s="18"/>
      <c r="I16" s="18"/>
      <c r="J16" s="18"/>
      <c r="K16" s="18"/>
      <c r="L16" s="18"/>
      <c r="M16" s="18"/>
      <c r="N16" s="18"/>
      <c r="O16" s="18"/>
      <c r="P16" s="18"/>
      <c r="S16" s="248" t="s">
        <v>164</v>
      </c>
      <c r="T16" s="248" t="s">
        <v>165</v>
      </c>
      <c r="U16" s="248" t="s">
        <v>166</v>
      </c>
      <c r="V16" s="248" t="s">
        <v>167</v>
      </c>
      <c r="W16" s="248" t="s">
        <v>168</v>
      </c>
      <c r="Y16" s="248" t="s">
        <v>164</v>
      </c>
      <c r="Z16" s="248" t="s">
        <v>165</v>
      </c>
      <c r="AA16" s="248" t="s">
        <v>166</v>
      </c>
      <c r="AB16" s="248" t="s">
        <v>167</v>
      </c>
      <c r="AC16" s="248" t="s">
        <v>168</v>
      </c>
      <c r="AH16" s="129"/>
      <c r="AI16" s="267"/>
    </row>
    <row r="17" spans="1:35" x14ac:dyDescent="0.25">
      <c r="A17" s="5"/>
      <c r="E17" s="4"/>
      <c r="F17" s="2"/>
      <c r="R17" s="248">
        <v>1</v>
      </c>
      <c r="S17" s="272">
        <v>0.1</v>
      </c>
      <c r="T17" s="259">
        <v>0.9</v>
      </c>
      <c r="U17" s="273">
        <v>5.3500000000000006E-2</v>
      </c>
      <c r="V17" s="273">
        <v>1.2E-2</v>
      </c>
      <c r="W17" s="273">
        <v>3.2750000000000001E-2</v>
      </c>
      <c r="Y17" s="259">
        <v>0.1</v>
      </c>
      <c r="Z17" s="259">
        <f t="shared" ref="Z17" si="0">1-Y17</f>
        <v>0.9</v>
      </c>
      <c r="AA17" s="273">
        <f>+Y17*40%+Z17*1.5%</f>
        <v>5.3500000000000006E-2</v>
      </c>
      <c r="AB17" s="273">
        <f>+Y17*3%+Z17*1%</f>
        <v>1.2E-2</v>
      </c>
      <c r="AC17" s="273">
        <f>+AVERAGE(AA17:AB17)</f>
        <v>3.2750000000000001E-2</v>
      </c>
      <c r="AH17" s="8"/>
      <c r="AI17" s="8"/>
    </row>
    <row r="18" spans="1:35" ht="15.75" thickBot="1" x14ac:dyDescent="0.3">
      <c r="B18" s="47" t="s">
        <v>21</v>
      </c>
      <c r="C18" s="44"/>
      <c r="E18" s="4"/>
      <c r="F18" s="2"/>
      <c r="R18" s="248">
        <v>2</v>
      </c>
      <c r="S18" s="259">
        <v>0.2</v>
      </c>
      <c r="T18" s="259">
        <v>0.8</v>
      </c>
      <c r="U18" s="273">
        <v>9.2000000000000012E-2</v>
      </c>
      <c r="V18" s="273">
        <v>1.4E-2</v>
      </c>
      <c r="W18" s="273">
        <v>5.3000000000000005E-2</v>
      </c>
      <c r="Y18" s="259">
        <f>+Y17+0.1</f>
        <v>0.2</v>
      </c>
      <c r="Z18" s="259">
        <f>1-Y18</f>
        <v>0.8</v>
      </c>
      <c r="AA18" s="273">
        <f t="shared" ref="AA18:AA26" si="1">+Y18*40%+Z18*1.5%</f>
        <v>9.2000000000000012E-2</v>
      </c>
      <c r="AB18" s="273">
        <f t="shared" ref="AB18:AB26" si="2">+Y18*3%+Z18*1%</f>
        <v>1.4E-2</v>
      </c>
      <c r="AC18" s="273">
        <f t="shared" ref="AC18:AC26" si="3">+AVERAGE(AA18:AB18)</f>
        <v>5.3000000000000005E-2</v>
      </c>
      <c r="AH18" s="265" t="s">
        <v>21</v>
      </c>
      <c r="AI18" s="266"/>
    </row>
    <row r="19" spans="1:35" x14ac:dyDescent="0.25">
      <c r="A19" s="5"/>
      <c r="B19" s="54" t="s">
        <v>65</v>
      </c>
      <c r="C19" s="136">
        <f>IF('Carga de datos'!D17=0,"",('Carga de datos'!D11+'Carga de datos'!D12)-('Carga de datos'!D18+'Carga de datos'!D19))/'Carga de datos'!D17</f>
        <v>-3.9384714872842029E-2</v>
      </c>
      <c r="D19" s="1"/>
      <c r="E19" s="182" t="s">
        <v>82</v>
      </c>
      <c r="F19" s="2"/>
      <c r="R19" s="248">
        <v>3</v>
      </c>
      <c r="S19" s="259">
        <v>0.30000000000000004</v>
      </c>
      <c r="T19" s="259">
        <v>0.7</v>
      </c>
      <c r="U19" s="273">
        <v>0.13050000000000003</v>
      </c>
      <c r="V19" s="273">
        <v>1.6E-2</v>
      </c>
      <c r="W19" s="273">
        <v>7.325000000000001E-2</v>
      </c>
      <c r="Y19" s="259">
        <f t="shared" ref="Y19:Y26" si="4">+Y18+0.1</f>
        <v>0.30000000000000004</v>
      </c>
      <c r="Z19" s="259">
        <f t="shared" ref="Z19:Z26" si="5">1-Y19</f>
        <v>0.7</v>
      </c>
      <c r="AA19" s="273">
        <f t="shared" si="1"/>
        <v>0.13050000000000003</v>
      </c>
      <c r="AB19" s="273">
        <f t="shared" si="2"/>
        <v>1.6E-2</v>
      </c>
      <c r="AC19" s="273">
        <f t="shared" si="3"/>
        <v>7.325000000000001E-2</v>
      </c>
      <c r="AH19" s="129" t="s">
        <v>180</v>
      </c>
      <c r="AI19" s="276">
        <f>IF('Carga de datos'!E17=0,"",('Carga de datos'!E11+'Carga de datos'!E12)-('Carga de datos'!E18+'Carga de datos'!E19))/'Carga de datos'!E17</f>
        <v>7.3620932694522259E-2</v>
      </c>
    </row>
    <row r="20" spans="1:35" x14ac:dyDescent="0.25">
      <c r="A20" s="156" t="str">
        <f>IF(C20="","",IF(C20&gt;=1,"B","M"))</f>
        <v>M</v>
      </c>
      <c r="B20" s="54" t="s">
        <v>19</v>
      </c>
      <c r="C20" s="176">
        <f>IF(('Carga de datos'!D18+'Carga de datos'!D19)=0,"",('Carga de datos'!D11+'Carga de datos'!D12)/('Carga de datos'!D18+'Carga de datos'!D19))</f>
        <v>0.70815298676743688</v>
      </c>
      <c r="D20" s="1"/>
      <c r="E20" s="182" t="s">
        <v>82</v>
      </c>
      <c r="F20" s="182" t="s">
        <v>148</v>
      </c>
      <c r="R20" s="248">
        <v>4</v>
      </c>
      <c r="S20" s="259">
        <v>0.4</v>
      </c>
      <c r="T20" s="259">
        <v>0.6</v>
      </c>
      <c r="U20" s="273">
        <v>0.16900000000000004</v>
      </c>
      <c r="V20" s="273">
        <v>1.8000000000000002E-2</v>
      </c>
      <c r="W20" s="273">
        <v>9.3500000000000028E-2</v>
      </c>
      <c r="Y20" s="259">
        <f t="shared" si="4"/>
        <v>0.4</v>
      </c>
      <c r="Z20" s="259">
        <f t="shared" si="5"/>
        <v>0.6</v>
      </c>
      <c r="AA20" s="273">
        <f t="shared" si="1"/>
        <v>0.16900000000000004</v>
      </c>
      <c r="AB20" s="273">
        <f t="shared" si="2"/>
        <v>1.8000000000000002E-2</v>
      </c>
      <c r="AC20" s="273">
        <f t="shared" si="3"/>
        <v>9.3500000000000028E-2</v>
      </c>
      <c r="AH20" s="129" t="s">
        <v>181</v>
      </c>
      <c r="AI20" s="277">
        <f>IF(('Carga de datos'!E18+'Carga de datos'!E19)=0,"",('Carga de datos'!E11+'Carga de datos'!E12)/('Carga de datos'!E18+'Carga de datos'!E19))</f>
        <v>1.6120916504097875</v>
      </c>
    </row>
    <row r="21" spans="1:35" x14ac:dyDescent="0.25">
      <c r="B21" t="s">
        <v>97</v>
      </c>
      <c r="C21" s="177">
        <f>+IF('Carga de datos'!D18+'Carga de datos'!D19=0,"",('Carga de datos'!D13+'Carga de datos'!D14)/('Carga de datos'!D18+'Carga de datos'!D19))</f>
        <v>0.57010914989535566</v>
      </c>
      <c r="E21" s="182" t="s">
        <v>82</v>
      </c>
      <c r="F21" s="182"/>
      <c r="R21" s="248">
        <v>5</v>
      </c>
      <c r="S21" s="259">
        <v>0.5</v>
      </c>
      <c r="T21" s="259">
        <v>0.5</v>
      </c>
      <c r="U21" s="273">
        <v>0.20750000000000002</v>
      </c>
      <c r="V21" s="273">
        <v>0.02</v>
      </c>
      <c r="W21" s="273">
        <v>0.11375</v>
      </c>
      <c r="Y21" s="259">
        <f t="shared" si="4"/>
        <v>0.5</v>
      </c>
      <c r="Z21" s="259">
        <f t="shared" si="5"/>
        <v>0.5</v>
      </c>
      <c r="AA21" s="273">
        <f t="shared" si="1"/>
        <v>0.20750000000000002</v>
      </c>
      <c r="AB21" s="273">
        <f t="shared" si="2"/>
        <v>0.02</v>
      </c>
      <c r="AC21" s="273">
        <f t="shared" si="3"/>
        <v>0.11375</v>
      </c>
      <c r="AH21" s="8" t="s">
        <v>97</v>
      </c>
      <c r="AI21" s="278">
        <f>+IF('Carga de datos'!E18+'Carga de datos'!E19=0,"",('Carga de datos'!E13+'Carga de datos'!E14)/('Carga de datos'!E18+'Carga de datos'!E19))</f>
        <v>1.432552247878685</v>
      </c>
    </row>
    <row r="22" spans="1:35" x14ac:dyDescent="0.25">
      <c r="B22" s="54" t="s">
        <v>20</v>
      </c>
      <c r="C22" s="178">
        <f>IF('Carga de datos'!D22=0,"",('Carga de datos'!D17/'Carga de datos'!D22))</f>
        <v>6.1326363305217404</v>
      </c>
      <c r="D22" s="1"/>
      <c r="E22" s="182" t="s">
        <v>82</v>
      </c>
      <c r="F22" s="182" t="s">
        <v>148</v>
      </c>
      <c r="R22" s="248">
        <v>6</v>
      </c>
      <c r="S22" s="259">
        <v>0.6</v>
      </c>
      <c r="T22" s="259">
        <v>0.4</v>
      </c>
      <c r="U22" s="273">
        <v>0.246</v>
      </c>
      <c r="V22" s="273">
        <v>2.1999999999999999E-2</v>
      </c>
      <c r="W22" s="273">
        <v>0.13400000000000001</v>
      </c>
      <c r="Y22" s="259">
        <f t="shared" si="4"/>
        <v>0.6</v>
      </c>
      <c r="Z22" s="259">
        <f t="shared" si="5"/>
        <v>0.4</v>
      </c>
      <c r="AA22" s="273">
        <f t="shared" si="1"/>
        <v>0.246</v>
      </c>
      <c r="AB22" s="273">
        <f t="shared" si="2"/>
        <v>2.1999999999999999E-2</v>
      </c>
      <c r="AC22" s="273">
        <f t="shared" si="3"/>
        <v>0.13400000000000001</v>
      </c>
      <c r="AH22" s="129" t="s">
        <v>182</v>
      </c>
      <c r="AI22" s="277">
        <f>IF('Carga de datos'!E22=0,"",('Carga de datos'!E17/'Carga de datos'!E22))</f>
        <v>6.8807345597288414</v>
      </c>
    </row>
    <row r="23" spans="1:35" ht="15.75" thickBot="1" x14ac:dyDescent="0.3">
      <c r="A23" s="156" t="str">
        <f>IF(C23="","",IF(C23&gt;0.7,"B","M"))</f>
        <v>B</v>
      </c>
      <c r="B23" s="55" t="s">
        <v>66</v>
      </c>
      <c r="C23" s="218">
        <f>IF('Carga de datos'!D17=0,0,('Carga de datos'!D15+'Carga de datos'!D16)/'Carga de datos'!D17)</f>
        <v>0.90443485043322325</v>
      </c>
      <c r="D23" s="1"/>
      <c r="E23" s="182" t="s">
        <v>82</v>
      </c>
      <c r="F23" s="182" t="s">
        <v>148</v>
      </c>
      <c r="R23" s="248">
        <v>7</v>
      </c>
      <c r="S23" s="259">
        <v>0.7</v>
      </c>
      <c r="T23" s="259">
        <v>0.30000000000000004</v>
      </c>
      <c r="U23" s="273">
        <v>0.28449999999999998</v>
      </c>
      <c r="V23" s="273">
        <v>2.3999999999999997E-2</v>
      </c>
      <c r="W23" s="273">
        <v>0.15425</v>
      </c>
      <c r="Y23" s="259">
        <f t="shared" si="4"/>
        <v>0.7</v>
      </c>
      <c r="Z23" s="259">
        <f t="shared" si="5"/>
        <v>0.30000000000000004</v>
      </c>
      <c r="AA23" s="273">
        <f t="shared" si="1"/>
        <v>0.28449999999999998</v>
      </c>
      <c r="AB23" s="273">
        <f t="shared" si="2"/>
        <v>2.3999999999999997E-2</v>
      </c>
      <c r="AC23" s="273">
        <f t="shared" si="3"/>
        <v>0.15425</v>
      </c>
      <c r="AH23" s="279" t="s">
        <v>183</v>
      </c>
      <c r="AI23" s="218">
        <f>IF('Carga de datos'!E17=0,0,('Carga de datos'!E15+'Carga de datos'!E16)/'Carga de datos'!E17)</f>
        <v>0.80610143789289879</v>
      </c>
    </row>
    <row r="24" spans="1:35" x14ac:dyDescent="0.25">
      <c r="A24" s="5"/>
      <c r="B24" s="5"/>
      <c r="C24" s="5"/>
      <c r="D24" s="8"/>
      <c r="E24" s="4"/>
      <c r="F24" s="3"/>
      <c r="G24" s="18"/>
      <c r="H24" s="18"/>
      <c r="I24" s="18"/>
      <c r="J24" s="18"/>
      <c r="K24" s="18"/>
      <c r="L24" s="18"/>
      <c r="M24" s="18"/>
      <c r="N24" s="18"/>
      <c r="O24" s="18"/>
      <c r="P24" s="18"/>
      <c r="R24" s="248">
        <v>8</v>
      </c>
      <c r="S24" s="259">
        <v>0.79999999999999993</v>
      </c>
      <c r="T24" s="259">
        <v>0.20000000000000007</v>
      </c>
      <c r="U24" s="273">
        <v>0.32300000000000001</v>
      </c>
      <c r="V24" s="273">
        <v>2.5999999999999999E-2</v>
      </c>
      <c r="W24" s="273">
        <v>0.17450000000000002</v>
      </c>
      <c r="Y24" s="259">
        <f t="shared" si="4"/>
        <v>0.79999999999999993</v>
      </c>
      <c r="Z24" s="259">
        <f t="shared" si="5"/>
        <v>0.20000000000000007</v>
      </c>
      <c r="AA24" s="273">
        <f t="shared" si="1"/>
        <v>0.32300000000000001</v>
      </c>
      <c r="AB24" s="273">
        <f t="shared" si="2"/>
        <v>2.5999999999999999E-2</v>
      </c>
      <c r="AC24" s="273">
        <f t="shared" si="3"/>
        <v>0.17450000000000002</v>
      </c>
      <c r="AH24" s="280"/>
      <c r="AI24" s="280"/>
    </row>
    <row r="25" spans="1:35" x14ac:dyDescent="0.25">
      <c r="A25" s="5"/>
      <c r="B25" s="5"/>
      <c r="C25" s="5"/>
      <c r="D25" s="8"/>
      <c r="E25" s="4"/>
      <c r="F25" s="137"/>
      <c r="G25" s="18"/>
      <c r="H25" s="18"/>
      <c r="I25" s="18"/>
      <c r="J25" s="18"/>
      <c r="K25" s="18"/>
      <c r="L25" s="18"/>
      <c r="M25" s="18"/>
      <c r="N25" s="18"/>
      <c r="O25" s="18"/>
      <c r="P25" s="18"/>
      <c r="R25" s="248">
        <v>9</v>
      </c>
      <c r="S25" s="259">
        <v>0.89999999999999991</v>
      </c>
      <c r="T25" s="259">
        <v>0.10000000000000009</v>
      </c>
      <c r="U25" s="273">
        <v>0.36149999999999999</v>
      </c>
      <c r="V25" s="273">
        <v>2.7999999999999997E-2</v>
      </c>
      <c r="W25" s="273">
        <v>0.19474999999999998</v>
      </c>
      <c r="Y25" s="259">
        <f t="shared" si="4"/>
        <v>0.89999999999999991</v>
      </c>
      <c r="Z25" s="259">
        <f t="shared" si="5"/>
        <v>0.10000000000000009</v>
      </c>
      <c r="AA25" s="273">
        <f t="shared" si="1"/>
        <v>0.36149999999999999</v>
      </c>
      <c r="AB25" s="273">
        <f t="shared" si="2"/>
        <v>2.7999999999999997E-2</v>
      </c>
      <c r="AC25" s="273">
        <f t="shared" si="3"/>
        <v>0.19474999999999998</v>
      </c>
      <c r="AH25" s="280"/>
      <c r="AI25" s="280"/>
    </row>
    <row r="26" spans="1:35" ht="15.75" thickBot="1" x14ac:dyDescent="0.3">
      <c r="A26" s="5"/>
      <c r="B26" s="47" t="s">
        <v>176</v>
      </c>
      <c r="C26" s="44"/>
      <c r="E26" s="4"/>
      <c r="F26" s="3"/>
      <c r="R26" s="248">
        <v>10</v>
      </c>
      <c r="S26" s="259">
        <v>0.99999999999999989</v>
      </c>
      <c r="T26" s="259">
        <v>0</v>
      </c>
      <c r="U26" s="273">
        <v>0.39999999999999997</v>
      </c>
      <c r="V26" s="273">
        <v>2.9999999999999995E-2</v>
      </c>
      <c r="W26" s="273">
        <v>0.21499999999999997</v>
      </c>
      <c r="Y26" s="259">
        <f t="shared" si="4"/>
        <v>0.99999999999999989</v>
      </c>
      <c r="Z26" s="259">
        <f t="shared" si="5"/>
        <v>0</v>
      </c>
      <c r="AA26" s="273">
        <f t="shared" si="1"/>
        <v>0.39999999999999997</v>
      </c>
      <c r="AB26" s="273">
        <f t="shared" si="2"/>
        <v>2.9999999999999995E-2</v>
      </c>
      <c r="AC26" s="273">
        <f t="shared" si="3"/>
        <v>0.21499999999999997</v>
      </c>
      <c r="AH26" s="265" t="s">
        <v>176</v>
      </c>
      <c r="AI26" s="266"/>
    </row>
    <row r="27" spans="1:35" x14ac:dyDescent="0.25">
      <c r="A27" s="5"/>
      <c r="B27" s="28" t="s">
        <v>23</v>
      </c>
      <c r="C27" s="58">
        <f>IF('Carga de datos'!D17=0,"",'Carga de datos'!D22/'Carga de datos'!D17)</f>
        <v>0.1630620089150018</v>
      </c>
      <c r="D27" s="19"/>
      <c r="E27" s="182" t="s">
        <v>82</v>
      </c>
      <c r="F27" s="182"/>
      <c r="AH27" s="129" t="s">
        <v>23</v>
      </c>
      <c r="AI27" s="270">
        <f>IF('Carga de datos'!E17=0,"",'Carga de datos'!E22/'Carga de datos'!E17)</f>
        <v>0.14533332034819962</v>
      </c>
    </row>
    <row r="28" spans="1:35" x14ac:dyDescent="0.25">
      <c r="A28" s="5"/>
      <c r="B28" s="28" t="s">
        <v>24</v>
      </c>
      <c r="C28" s="58">
        <f>IF('Carga de datos'!D23=0,"",'Carga de datos'!D22/'Carga de datos'!D23)</f>
        <v>0.19483164900139113</v>
      </c>
      <c r="D28" s="19"/>
      <c r="E28" s="182" t="s">
        <v>82</v>
      </c>
      <c r="F28" s="182"/>
      <c r="AH28" s="129" t="s">
        <v>24</v>
      </c>
      <c r="AI28" s="270">
        <f>IF('Carga de datos'!E23=0,"",'Carga de datos'!E22/'Carga de datos'!E23)</f>
        <v>0.17004678409530349</v>
      </c>
    </row>
    <row r="29" spans="1:35" ht="15.75" thickBot="1" x14ac:dyDescent="0.3">
      <c r="A29" s="5"/>
      <c r="B29" s="61" t="s">
        <v>25</v>
      </c>
      <c r="C29" s="133">
        <f>IF('Carga de datos'!D22=0,"",('Carga de datos'!D18+'Carga de datos'!D19)/'Carga de datos'!D22)</f>
        <v>0.82759844146139028</v>
      </c>
      <c r="D29" s="1"/>
      <c r="E29" s="182" t="s">
        <v>82</v>
      </c>
      <c r="F29" s="182"/>
      <c r="AH29" s="281" t="s">
        <v>185</v>
      </c>
      <c r="AI29" s="282">
        <f>IF('Carga de datos'!E22=0,"",('Carga de datos'!E18+'Carga de datos'!E19)/'Carga de datos'!E22)</f>
        <v>0.82759844146139028</v>
      </c>
    </row>
    <row r="30" spans="1:35" s="129" customFormat="1" x14ac:dyDescent="0.25">
      <c r="A30" s="30"/>
      <c r="B30" s="59" t="s">
        <v>34</v>
      </c>
      <c r="C30" s="58">
        <f>IF(('Carga de datos'!D18+'Carga de datos'!D19)=0,"",'Carga de datos'!D48/('Carga de datos'!D18+'Carga de datos'!D19))</f>
        <v>0.90393866364234998</v>
      </c>
      <c r="D30" s="25"/>
      <c r="E30" s="182" t="s">
        <v>82</v>
      </c>
      <c r="F30" s="182" t="s">
        <v>148</v>
      </c>
      <c r="G30" s="22"/>
      <c r="H30" s="22"/>
      <c r="I30" s="22"/>
      <c r="J30" s="22"/>
      <c r="K30" s="22"/>
      <c r="L30" s="22"/>
      <c r="M30" s="22"/>
      <c r="N30" s="22"/>
      <c r="O30" s="22"/>
      <c r="P30" s="22"/>
      <c r="AH30" s="128" t="s">
        <v>34</v>
      </c>
      <c r="AI30" s="270">
        <f>IF(('Carga de datos'!E18+'Carga de datos'!E19)=0,"",'Carga de datos'!D48/('Carga de datos'!E18+'Carga de datos'!E19))</f>
        <v>0.90393866364234998</v>
      </c>
    </row>
    <row r="31" spans="1:35" s="129" customFormat="1" x14ac:dyDescent="0.25">
      <c r="A31" s="30"/>
      <c r="B31" s="28" t="s">
        <v>41</v>
      </c>
      <c r="C31" s="179">
        <f>IF(('Carga de datos'!D18+'Carga de datos'!D19)=0,"",('Carga de datos'!D30+'Carga de datos'!D31)/('Carga de datos'!D18+'Carga de datos'!D19))</f>
        <v>4.4111746258741658</v>
      </c>
      <c r="D31" s="25"/>
      <c r="E31" s="182" t="s">
        <v>82</v>
      </c>
      <c r="F31" s="182" t="s">
        <v>148</v>
      </c>
      <c r="G31" s="22"/>
      <c r="H31" s="22"/>
      <c r="I31" s="22"/>
      <c r="J31" s="22"/>
      <c r="K31" s="22"/>
      <c r="L31" s="22"/>
      <c r="M31" s="22"/>
      <c r="N31" s="22"/>
      <c r="O31" s="22"/>
      <c r="P31" s="22"/>
      <c r="AH31" s="129" t="s">
        <v>41</v>
      </c>
      <c r="AI31" s="277">
        <f>IF(('Carga de datos'!E18+'Carga de datos'!E19)=0,"",('Carga de datos'!D30+'Carga de datos'!D31)/('Carga de datos'!E18+'Carga de datos'!E19))</f>
        <v>4.4111746258741658</v>
      </c>
    </row>
    <row r="32" spans="1:35" s="129" customFormat="1" x14ac:dyDescent="0.25">
      <c r="A32" s="30"/>
      <c r="B32" s="59" t="s">
        <v>35</v>
      </c>
      <c r="C32" s="58">
        <f>IF('Carga de datos'!D22=0,"",'Carga de datos'!D48/'Carga de datos'!D22)</f>
        <v>0.74809822920710067</v>
      </c>
      <c r="D32" s="25"/>
      <c r="E32" s="182" t="s">
        <v>82</v>
      </c>
      <c r="F32" s="182"/>
      <c r="G32" s="22"/>
      <c r="H32" s="22"/>
      <c r="I32" s="22"/>
      <c r="J32" s="22"/>
      <c r="K32" s="22"/>
      <c r="L32" s="22"/>
      <c r="M32" s="22"/>
      <c r="N32" s="22"/>
      <c r="O32" s="22"/>
      <c r="P32" s="22"/>
      <c r="AH32" s="128" t="s">
        <v>35</v>
      </c>
      <c r="AI32" s="270">
        <f>IF('Carga de datos'!E22=0,"",'Carga de datos'!D48/'Carga de datos'!E22)</f>
        <v>0.74809822920710067</v>
      </c>
    </row>
    <row r="33" spans="1:35" s="129" customFormat="1" ht="15.75" thickBot="1" x14ac:dyDescent="0.3">
      <c r="A33" s="30"/>
      <c r="B33" s="62" t="s">
        <v>26</v>
      </c>
      <c r="C33" s="220">
        <f>IF('Carga de datos'!D48=0,"",'Carga de datos'!D22/'Carga de datos'!D48)</f>
        <v>1.3367228539758564</v>
      </c>
      <c r="D33" s="25"/>
      <c r="E33" s="182" t="s">
        <v>82</v>
      </c>
      <c r="F33" s="182" t="s">
        <v>148</v>
      </c>
      <c r="G33" s="22"/>
      <c r="H33" s="22"/>
      <c r="I33" s="22"/>
      <c r="J33" s="22"/>
      <c r="K33" s="22"/>
      <c r="L33" s="22"/>
      <c r="M33" s="22"/>
      <c r="N33" s="22"/>
      <c r="O33" s="22"/>
      <c r="P33" s="22"/>
      <c r="AH33" s="283" t="s">
        <v>26</v>
      </c>
      <c r="AI33" s="284">
        <f>IF('Carga de datos'!D48=0,"",'Carga de datos'!E22/'Carga de datos'!D48)</f>
        <v>1.3367228539758564</v>
      </c>
    </row>
    <row r="34" spans="1:35" s="129" customFormat="1" x14ac:dyDescent="0.25">
      <c r="A34" s="21"/>
      <c r="B34" s="21"/>
      <c r="C34" s="21"/>
      <c r="D34" s="25"/>
      <c r="E34" s="183"/>
      <c r="F34" s="182"/>
      <c r="G34" s="22"/>
      <c r="H34" s="22"/>
      <c r="I34" s="22"/>
      <c r="J34" s="22"/>
      <c r="K34" s="22"/>
      <c r="L34" s="22"/>
      <c r="M34" s="22"/>
      <c r="N34" s="22"/>
      <c r="O34" s="22"/>
      <c r="P34" s="22"/>
      <c r="AH34" s="285"/>
      <c r="AI34" s="285"/>
    </row>
    <row r="35" spans="1:35" s="129" customFormat="1" x14ac:dyDescent="0.25">
      <c r="A35" s="21"/>
      <c r="B35" s="97" t="s">
        <v>37</v>
      </c>
      <c r="C35" s="254">
        <v>3</v>
      </c>
      <c r="D35" s="25"/>
      <c r="E35" s="182" t="s">
        <v>82</v>
      </c>
      <c r="F35" s="182"/>
      <c r="G35" s="22"/>
      <c r="H35" s="22"/>
      <c r="I35" s="22"/>
      <c r="J35" s="22"/>
      <c r="K35" s="22"/>
      <c r="L35" s="22"/>
      <c r="M35" s="22"/>
      <c r="N35" s="22"/>
      <c r="O35" s="22"/>
      <c r="P35" s="22"/>
      <c r="AH35" s="286" t="s">
        <v>37</v>
      </c>
      <c r="AI35" s="287">
        <v>3</v>
      </c>
    </row>
    <row r="36" spans="1:35" s="129" customFormat="1" x14ac:dyDescent="0.25">
      <c r="A36" s="21"/>
      <c r="B36" s="94" t="s">
        <v>43</v>
      </c>
      <c r="C36" s="95">
        <f>IF('Carga de datos'!D43=0,"",-'Carga de datos'!D44/'Carga de datos'!D43)</f>
        <v>6.0048293018231294E-2</v>
      </c>
      <c r="D36" s="25"/>
      <c r="E36" s="182" t="s">
        <v>82</v>
      </c>
      <c r="F36" s="182" t="s">
        <v>148</v>
      </c>
      <c r="G36" s="22"/>
      <c r="H36" s="22"/>
      <c r="I36" s="22"/>
      <c r="J36" s="22"/>
      <c r="K36" s="22"/>
      <c r="L36" s="22"/>
      <c r="M36" s="22"/>
      <c r="N36" s="22"/>
      <c r="O36" s="22"/>
      <c r="P36" s="22"/>
      <c r="AH36" s="288" t="s">
        <v>43</v>
      </c>
      <c r="AI36" s="289">
        <f>IF('Carga de datos'!D43=0,"",-'Carga de datos'!D44/'Carga de datos'!D43)</f>
        <v>6.0048293018231294E-2</v>
      </c>
    </row>
    <row r="37" spans="1:35" s="129" customFormat="1" x14ac:dyDescent="0.25">
      <c r="A37" s="21"/>
      <c r="B37" s="50" t="s">
        <v>175</v>
      </c>
      <c r="C37" s="95">
        <f>IF('Carga de datos'!D22=0,"",-'Carga de datos'!D42/'Carga de datos'!D22)</f>
        <v>0.17613507876953216</v>
      </c>
      <c r="D37" s="25"/>
      <c r="E37" s="182" t="s">
        <v>82</v>
      </c>
      <c r="F37" s="182"/>
      <c r="G37" s="22"/>
      <c r="H37" s="22"/>
      <c r="I37" s="22"/>
      <c r="J37" s="22"/>
      <c r="K37" s="22"/>
      <c r="L37" s="22"/>
      <c r="M37" s="22"/>
      <c r="N37" s="22"/>
      <c r="O37" s="22"/>
      <c r="P37" s="22"/>
      <c r="AH37" s="268" t="s">
        <v>186</v>
      </c>
      <c r="AI37" s="289">
        <f>IF('Carga de datos'!E22=0,"",-'Carga de datos'!D42/'Carga de datos'!E22)</f>
        <v>0.17613507876953216</v>
      </c>
    </row>
    <row r="38" spans="1:35" s="129" customFormat="1" x14ac:dyDescent="0.25">
      <c r="A38" s="21"/>
      <c r="B38" s="66" t="s">
        <v>36</v>
      </c>
      <c r="C38" s="96">
        <f>IF('Carga de datos'!D41=0,"",((('Carga de datos'!D41*(1-'Indicadores Empresariales'!C36)+'Carga de datos'!D46)*C35)/(1+C37*C35*(1-C36))))</f>
        <v>967264.60281149775</v>
      </c>
      <c r="D38" s="25"/>
      <c r="E38" s="182" t="s">
        <v>82</v>
      </c>
      <c r="F38" s="182"/>
      <c r="G38" s="22"/>
      <c r="H38" s="22"/>
      <c r="I38" s="22"/>
      <c r="J38" s="22"/>
      <c r="K38" s="22"/>
      <c r="L38" s="22"/>
      <c r="M38" s="22"/>
      <c r="N38" s="22"/>
      <c r="O38" s="22"/>
      <c r="P38" s="22"/>
      <c r="AH38" s="128" t="s">
        <v>36</v>
      </c>
      <c r="AI38" s="67">
        <f>IF('Carga de datos'!D41=0,"",((('Carga de datos'!D41*(1-'Indicadores Empresariales'!AI36)+'Carga de datos'!D46)*AI35)/(1+AI37*AI35*(1-AI36))))</f>
        <v>967264.60281149775</v>
      </c>
    </row>
    <row r="39" spans="1:35" s="129" customFormat="1" x14ac:dyDescent="0.25">
      <c r="A39" s="21"/>
      <c r="B39" s="98" t="s">
        <v>38</v>
      </c>
      <c r="C39" s="99" t="str">
        <f>IF(C35=0,"Plazo máx. mercado?",IF('Carga de datos'!D22-'Indicadores Empresariales'!C38&gt;0,'Carga de datos'!D22-C38,"Sin Deuda Estr."))</f>
        <v>Sin Deuda Estr.</v>
      </c>
      <c r="D39" s="25"/>
      <c r="E39" s="182" t="s">
        <v>82</v>
      </c>
      <c r="F39" s="182"/>
      <c r="G39" s="22"/>
      <c r="H39" s="22"/>
      <c r="I39" s="22"/>
      <c r="J39" s="22"/>
      <c r="K39" s="22"/>
      <c r="L39" s="22"/>
      <c r="M39" s="22"/>
      <c r="N39" s="22"/>
      <c r="O39" s="22"/>
      <c r="P39" s="22"/>
      <c r="AH39" s="290" t="s">
        <v>38</v>
      </c>
      <c r="AI39" s="291" t="str">
        <f>IF(AI35=0,"Plazo máx. mercado?",IF('Carga de datos'!E22-'Indicadores Empresariales'!AI38&gt;0,'Carga de datos'!E22-AI38,"Sin Deuda Estr."))</f>
        <v>Sin Deuda Estr.</v>
      </c>
    </row>
    <row r="40" spans="1:35" s="129" customFormat="1" x14ac:dyDescent="0.25">
      <c r="A40" s="21"/>
      <c r="B40" s="66"/>
      <c r="C40" s="67"/>
      <c r="D40" s="25"/>
      <c r="E40" s="183"/>
      <c r="F40" s="31"/>
      <c r="G40" s="22"/>
      <c r="H40" s="22"/>
      <c r="I40" s="22"/>
      <c r="J40" s="22"/>
      <c r="K40" s="22"/>
      <c r="L40" s="22"/>
      <c r="M40" s="22"/>
      <c r="N40" s="22"/>
      <c r="O40" s="22"/>
      <c r="P40" s="22"/>
      <c r="AH40" s="128"/>
      <c r="AI40" s="67"/>
    </row>
    <row r="41" spans="1:35" s="129" customFormat="1" x14ac:dyDescent="0.25">
      <c r="A41" s="30"/>
      <c r="B41" s="30"/>
      <c r="C41" s="22"/>
      <c r="D41" s="32"/>
      <c r="E41" s="183"/>
      <c r="F41" s="23"/>
      <c r="G41" s="22"/>
      <c r="H41" s="22"/>
      <c r="I41" s="22"/>
      <c r="J41" s="22"/>
      <c r="K41" s="22"/>
      <c r="L41" s="22"/>
      <c r="M41" s="22"/>
      <c r="N41" s="22"/>
      <c r="O41" s="22"/>
      <c r="P41" s="22"/>
      <c r="AH41" s="292"/>
      <c r="AI41" s="32"/>
    </row>
    <row r="42" spans="1:35" s="249" customFormat="1" ht="23.25" x14ac:dyDescent="0.35">
      <c r="A42" s="63"/>
      <c r="B42" s="63" t="s">
        <v>22</v>
      </c>
      <c r="C42" s="63"/>
      <c r="D42" s="64"/>
      <c r="E42" s="184"/>
      <c r="F42" s="65"/>
      <c r="G42" s="63"/>
      <c r="H42" s="63"/>
      <c r="I42" s="63"/>
      <c r="J42" s="63"/>
      <c r="K42" s="63"/>
      <c r="L42" s="63"/>
      <c r="M42" s="63"/>
      <c r="N42" s="63"/>
      <c r="O42" s="63"/>
      <c r="P42" s="63"/>
      <c r="AH42" s="293" t="s">
        <v>22</v>
      </c>
      <c r="AI42" s="293"/>
    </row>
    <row r="43" spans="1:35" s="249" customFormat="1" ht="14.45" customHeight="1" x14ac:dyDescent="0.35">
      <c r="A43" s="63"/>
      <c r="B43" s="63"/>
      <c r="C43" s="63"/>
      <c r="D43" s="64"/>
      <c r="E43" s="184"/>
      <c r="F43" s="65"/>
      <c r="G43" s="63"/>
      <c r="H43" s="63"/>
      <c r="I43" s="63"/>
      <c r="J43" s="63"/>
      <c r="K43" s="63"/>
      <c r="L43" s="63"/>
      <c r="M43" s="63"/>
      <c r="N43" s="63"/>
      <c r="O43" s="63"/>
      <c r="P43" s="63"/>
      <c r="AH43" s="293"/>
      <c r="AI43" s="293"/>
    </row>
    <row r="44" spans="1:35" s="129" customFormat="1" ht="15.75" thickBot="1" x14ac:dyDescent="0.3">
      <c r="A44" s="30"/>
      <c r="B44" s="62" t="s">
        <v>87</v>
      </c>
      <c r="C44" s="133">
        <f>IF(('Carga de datos'!D30+'Carga de datos'!D31)=0,"",IF('Carga de datos'!D34&lt;0,"Margen negativo",'Carga de datos'!D34/('Carga de datos'!D30+'Carga de datos'!D31)))</f>
        <v>0.34129675583010599</v>
      </c>
      <c r="D44" s="25"/>
      <c r="E44" s="182" t="s">
        <v>82</v>
      </c>
      <c r="F44" s="22"/>
      <c r="G44" s="22"/>
      <c r="H44" s="22"/>
      <c r="I44" s="22"/>
      <c r="J44" s="29"/>
      <c r="K44" s="22"/>
      <c r="L44" s="22"/>
      <c r="M44" s="22"/>
      <c r="N44" s="22"/>
      <c r="O44" s="22"/>
      <c r="P44" s="22"/>
      <c r="AH44" s="283" t="s">
        <v>87</v>
      </c>
      <c r="AI44" s="282">
        <f>IF(('Carga de datos'!D30+'Carga de datos'!D31)=0,"",IF('Carga de datos'!D34&lt;0,"Margen negativo",'Carga de datos'!D34/('Carga de datos'!D30+'Carga de datos'!D31)))</f>
        <v>0.34129675583010599</v>
      </c>
    </row>
    <row r="45" spans="1:35" s="129" customFormat="1" x14ac:dyDescent="0.25">
      <c r="A45" s="30"/>
      <c r="B45" s="54" t="s">
        <v>12</v>
      </c>
      <c r="C45" s="52">
        <f>IF('Carga de datos'!D34=0,"",-('Carga de datos'!D37+'Carga de datos'!D38)/'Carga de datos'!D34)</f>
        <v>0</v>
      </c>
      <c r="D45" s="25"/>
      <c r="E45" s="182" t="s">
        <v>82</v>
      </c>
      <c r="F45" s="182" t="s">
        <v>148</v>
      </c>
      <c r="G45" s="22"/>
      <c r="H45" s="22"/>
      <c r="I45" s="22"/>
      <c r="J45" s="29"/>
      <c r="K45" s="22"/>
      <c r="L45" s="22"/>
      <c r="M45" s="22"/>
      <c r="N45" s="22"/>
      <c r="O45" s="22"/>
      <c r="P45" s="22"/>
      <c r="AH45" s="129" t="s">
        <v>12</v>
      </c>
      <c r="AI45" s="270">
        <f>IF('Carga de datos'!D34=0,"",-('Carga de datos'!D37+'Carga de datos'!D38)/'Carga de datos'!D34)</f>
        <v>0</v>
      </c>
    </row>
    <row r="46" spans="1:35" s="129" customFormat="1" x14ac:dyDescent="0.25">
      <c r="A46" s="30"/>
      <c r="B46" s="59" t="s">
        <v>126</v>
      </c>
      <c r="C46" s="52">
        <f>IF('Carga de datos'!D34=0,"",'Carga de datos'!D39/'Carga de datos'!D34)</f>
        <v>1</v>
      </c>
      <c r="D46" s="25"/>
      <c r="E46" s="182" t="s">
        <v>82</v>
      </c>
      <c r="F46" s="182" t="s">
        <v>148</v>
      </c>
      <c r="G46" s="22"/>
      <c r="H46" s="22"/>
      <c r="I46" s="22"/>
      <c r="J46" s="22"/>
      <c r="K46" s="22"/>
      <c r="L46" s="22"/>
      <c r="M46" s="22"/>
      <c r="N46" s="22"/>
      <c r="O46" s="22"/>
      <c r="P46" s="22"/>
      <c r="AH46" s="128" t="s">
        <v>126</v>
      </c>
      <c r="AI46" s="270">
        <f>IF('Carga de datos'!D34=0,"",'Carga de datos'!D39/'Carga de datos'!D34)</f>
        <v>1</v>
      </c>
    </row>
    <row r="47" spans="1:35" s="129" customFormat="1" x14ac:dyDescent="0.25">
      <c r="A47" s="30"/>
      <c r="B47" s="59" t="s">
        <v>127</v>
      </c>
      <c r="C47" s="147">
        <f>IF('Carga de datos'!D34=0,"",IF('Carga de datos'!D34&lt;0,"Margen negativo",IF('Carga de datos'!D41&lt;0,"BAII negativo",'Carga de datos'!D41/'Carga de datos'!D34)))</f>
        <v>0.91868770890644935</v>
      </c>
      <c r="D47" s="25"/>
      <c r="E47" s="182" t="s">
        <v>82</v>
      </c>
      <c r="F47" s="182" t="s">
        <v>148</v>
      </c>
      <c r="G47" s="22"/>
      <c r="H47" s="22"/>
      <c r="I47" s="22"/>
      <c r="J47" s="22"/>
      <c r="K47" s="22"/>
      <c r="L47" s="22"/>
      <c r="M47" s="22"/>
      <c r="N47" s="22"/>
      <c r="O47" s="22"/>
      <c r="P47" s="22"/>
      <c r="AH47" s="128" t="s">
        <v>127</v>
      </c>
      <c r="AI47" s="294">
        <f>IF('Carga de datos'!D34=0,"",IF('Carga de datos'!D34&lt;0,"Margen negativo",IF('Carga de datos'!D41&lt;0,"BAII negativo",'Carga de datos'!D41/'Carga de datos'!D34)))</f>
        <v>0.91868770890644935</v>
      </c>
    </row>
    <row r="48" spans="1:35" s="129" customFormat="1" collapsed="1" x14ac:dyDescent="0.25">
      <c r="A48" s="30"/>
      <c r="B48" s="143" t="s">
        <v>130</v>
      </c>
      <c r="C48" s="147">
        <f>IF('Carga de datos'!D39=0,"",IF('Carga de datos'!D39&lt;0,"Res.Oper. negativo",-('Carga de datos'!D35+'Carga de datos'!D40)/'Carga de datos'!D39))</f>
        <v>8.131229109355069E-2</v>
      </c>
      <c r="D48" s="25"/>
      <c r="E48" s="182" t="s">
        <v>82</v>
      </c>
      <c r="F48" s="182" t="s">
        <v>148</v>
      </c>
      <c r="G48" s="22"/>
      <c r="H48" s="22"/>
      <c r="I48" s="22"/>
      <c r="J48" s="22"/>
      <c r="K48" s="22"/>
      <c r="L48" s="22"/>
      <c r="M48" s="22"/>
      <c r="N48" s="22"/>
      <c r="O48" s="22"/>
      <c r="P48" s="22"/>
      <c r="AH48" s="281" t="s">
        <v>130</v>
      </c>
      <c r="AI48" s="294">
        <f>IF('Carga de datos'!D39=0,"",IF('Carga de datos'!D39&lt;0,"Res.Oper. negativo",-('Carga de datos'!D35+'Carga de datos'!D40)/'Carga de datos'!D39))</f>
        <v>8.131229109355069E-2</v>
      </c>
    </row>
    <row r="49" spans="1:35" s="129" customFormat="1" collapsed="1" x14ac:dyDescent="0.25">
      <c r="A49" s="30"/>
      <c r="B49" s="54" t="s">
        <v>132</v>
      </c>
      <c r="C49" s="52">
        <f>IF('Carga de datos'!D41=0,"",IF('Carga de datos'!D41&lt;0,"BAII negativo",-'Carga de datos'!D42/'Carga de datos'!D41))</f>
        <v>0.15387635032822336</v>
      </c>
      <c r="D49" s="25"/>
      <c r="E49" s="182" t="s">
        <v>82</v>
      </c>
      <c r="F49" s="182" t="s">
        <v>148</v>
      </c>
      <c r="G49" s="22"/>
      <c r="H49" s="22"/>
      <c r="I49" s="22"/>
      <c r="J49" s="22"/>
      <c r="K49" s="22"/>
      <c r="L49" s="22"/>
      <c r="M49" s="22"/>
      <c r="N49" s="22"/>
      <c r="O49" s="22"/>
      <c r="P49" s="22"/>
      <c r="AH49" s="129" t="s">
        <v>132</v>
      </c>
      <c r="AI49" s="270">
        <f>IF('Carga de datos'!D41=0,"",IF('Carga de datos'!D41&lt;0,"BAII negativo",-'Carga de datos'!D42/'Carga de datos'!D41))</f>
        <v>0.15387635032822336</v>
      </c>
    </row>
    <row r="50" spans="1:35" s="129" customFormat="1" x14ac:dyDescent="0.25">
      <c r="A50" s="30"/>
      <c r="B50" s="54" t="s">
        <v>131</v>
      </c>
      <c r="C50" s="144">
        <f>IF('Carga de datos'!D41=0,"",IF('Carga de datos'!D41&lt;0,"BAII negativo",'Carga de datos'!D45/'Carga de datos'!D41))</f>
        <v>0.79531536882663056</v>
      </c>
      <c r="D50" s="25"/>
      <c r="E50" s="182" t="s">
        <v>82</v>
      </c>
      <c r="F50" s="182" t="s">
        <v>148</v>
      </c>
      <c r="G50" s="22"/>
      <c r="H50" s="22"/>
      <c r="I50" s="22"/>
      <c r="J50" s="22"/>
      <c r="K50" s="22"/>
      <c r="L50" s="22"/>
      <c r="M50" s="22"/>
      <c r="N50" s="22"/>
      <c r="O50" s="22"/>
      <c r="P50" s="22"/>
      <c r="AH50" s="129" t="s">
        <v>131</v>
      </c>
      <c r="AI50" s="295">
        <f>IF('Carga de datos'!D41=0,"",IF('Carga de datos'!D41&lt;0,"BAII negativo",'Carga de datos'!D45/'Carga de datos'!D41))</f>
        <v>0.79531536882663056</v>
      </c>
    </row>
    <row r="51" spans="1:35" s="129" customFormat="1" x14ac:dyDescent="0.25">
      <c r="A51" s="30"/>
      <c r="B51" s="143" t="s">
        <v>13</v>
      </c>
      <c r="C51" s="145">
        <f>IF('Carga de datos'!D42=0,"",'Carga de datos'!D46/'Carga de datos'!D42)</f>
        <v>0.92123708334797949</v>
      </c>
      <c r="D51" s="25"/>
      <c r="E51" s="182" t="s">
        <v>82</v>
      </c>
      <c r="F51" s="182" t="s">
        <v>148</v>
      </c>
      <c r="G51" s="22"/>
      <c r="H51" s="22"/>
      <c r="I51" s="22"/>
      <c r="J51" s="22"/>
      <c r="K51" s="22"/>
      <c r="L51" s="22"/>
      <c r="M51" s="22"/>
      <c r="N51" s="22"/>
      <c r="O51" s="22"/>
      <c r="P51" s="22"/>
      <c r="AH51" s="281" t="s">
        <v>13</v>
      </c>
      <c r="AI51" s="296">
        <f>IF('Carga de datos'!D42=0,"",'Carga de datos'!D46/'Carga de datos'!D42)</f>
        <v>0.92123708334797949</v>
      </c>
    </row>
    <row r="52" spans="1:35" s="129" customFormat="1" collapsed="1" x14ac:dyDescent="0.25">
      <c r="A52" s="30"/>
      <c r="B52" s="54" t="s">
        <v>133</v>
      </c>
      <c r="C52" s="58">
        <f>IF('Carga de datos'!D41=0,"",-'Carga de datos'!D44/'Carga de datos'!D41)</f>
        <v>5.0808280845146124E-2</v>
      </c>
      <c r="D52" s="25"/>
      <c r="E52" s="182" t="s">
        <v>82</v>
      </c>
      <c r="F52" s="22"/>
      <c r="G52" s="22"/>
      <c r="H52" s="22"/>
      <c r="I52" s="22"/>
      <c r="J52" s="22"/>
      <c r="K52" s="22"/>
      <c r="L52" s="22"/>
      <c r="M52" s="22"/>
      <c r="N52" s="22"/>
      <c r="O52" s="22"/>
      <c r="P52" s="22"/>
      <c r="AH52" s="129" t="s">
        <v>187</v>
      </c>
      <c r="AI52" s="270">
        <f>IF('Carga de datos'!D41=0,"",-'Carga de datos'!D44/'Carga de datos'!D41)</f>
        <v>5.0808280845146124E-2</v>
      </c>
    </row>
    <row r="53" spans="1:35" s="129" customFormat="1" ht="15.75" thickBot="1" x14ac:dyDescent="0.3">
      <c r="A53" s="30"/>
      <c r="B53" s="55" t="s">
        <v>129</v>
      </c>
      <c r="C53" s="146">
        <f>IF('Carga de datos'!D41=0,"",-'Carga de datos'!D46/'Carga de datos'!D41)</f>
        <v>0.14175660017260439</v>
      </c>
      <c r="D53" s="25"/>
      <c r="E53" s="182" t="s">
        <v>82</v>
      </c>
      <c r="F53" s="182" t="s">
        <v>148</v>
      </c>
      <c r="G53" s="22"/>
      <c r="H53" s="22"/>
      <c r="I53" s="22"/>
      <c r="J53" s="22"/>
      <c r="K53" s="22"/>
      <c r="L53" s="22"/>
      <c r="M53" s="22"/>
      <c r="N53" s="22"/>
      <c r="O53" s="22"/>
      <c r="P53" s="22"/>
      <c r="AH53" s="279" t="s">
        <v>188</v>
      </c>
      <c r="AI53" s="297">
        <f>IF('Carga de datos'!D41=0,"",-'Carga de datos'!D46/'Carga de datos'!D41)</f>
        <v>0.14175660017260439</v>
      </c>
    </row>
    <row r="54" spans="1:35" s="129" customFormat="1" x14ac:dyDescent="0.25">
      <c r="A54" s="30"/>
      <c r="B54" s="22"/>
      <c r="C54" s="22"/>
      <c r="D54" s="22"/>
      <c r="E54" s="23"/>
      <c r="F54" s="24"/>
      <c r="G54" s="22"/>
      <c r="H54" s="22"/>
      <c r="I54" s="22"/>
      <c r="J54" s="22"/>
      <c r="K54" s="22"/>
      <c r="L54" s="22"/>
      <c r="M54" s="22"/>
      <c r="N54" s="22"/>
      <c r="O54" s="22"/>
      <c r="P54" s="22"/>
    </row>
    <row r="55" spans="1:35" s="129" customFormat="1" x14ac:dyDescent="0.25">
      <c r="A55" s="30"/>
      <c r="B55" s="22"/>
      <c r="C55" s="22"/>
      <c r="D55" s="22"/>
      <c r="E55" s="23"/>
      <c r="F55" s="24"/>
      <c r="G55" s="22"/>
      <c r="H55" s="22"/>
      <c r="I55" s="22"/>
      <c r="J55" s="22"/>
      <c r="K55" s="22"/>
      <c r="L55" s="22"/>
      <c r="M55" s="22"/>
      <c r="N55" s="22"/>
      <c r="O55" s="22"/>
      <c r="P55" s="22"/>
    </row>
    <row r="56" spans="1:35" s="129" customFormat="1" x14ac:dyDescent="0.25">
      <c r="A56" s="22">
        <v>1</v>
      </c>
      <c r="B56" s="22"/>
      <c r="C56" s="22"/>
      <c r="D56" s="22"/>
      <c r="E56" s="22"/>
      <c r="F56" s="22"/>
      <c r="G56" s="22"/>
      <c r="H56" s="22"/>
      <c r="I56" s="22"/>
      <c r="J56" s="22"/>
      <c r="K56" s="22"/>
      <c r="L56" s="22"/>
      <c r="M56" s="22"/>
      <c r="N56" s="22"/>
      <c r="O56" s="22"/>
      <c r="P56" s="22"/>
    </row>
    <row r="57" spans="1:35" s="129" customFormat="1" x14ac:dyDescent="0.25">
      <c r="A57" s="22">
        <v>2</v>
      </c>
      <c r="B57" s="22"/>
      <c r="C57" s="22"/>
      <c r="D57" s="22"/>
      <c r="E57" s="22"/>
      <c r="F57" s="22"/>
      <c r="G57" s="22"/>
      <c r="H57" s="22"/>
      <c r="I57" s="22"/>
      <c r="J57" s="22"/>
      <c r="K57" s="22"/>
      <c r="L57" s="22"/>
      <c r="M57" s="22"/>
      <c r="N57" s="22"/>
      <c r="O57" s="22"/>
      <c r="P57" s="22"/>
    </row>
    <row r="58" spans="1:35" s="129" customFormat="1" x14ac:dyDescent="0.25">
      <c r="A58" s="22">
        <v>3</v>
      </c>
      <c r="B58" s="22"/>
      <c r="C58" s="22"/>
      <c r="D58" s="22"/>
      <c r="E58" s="22"/>
      <c r="F58" s="22"/>
      <c r="G58" s="22"/>
      <c r="H58" s="22"/>
      <c r="I58" s="22"/>
      <c r="J58" s="22"/>
      <c r="K58" s="22"/>
      <c r="L58" s="22"/>
      <c r="M58" s="22"/>
      <c r="N58" s="22"/>
      <c r="O58" s="22"/>
      <c r="P58" s="22"/>
    </row>
    <row r="59" spans="1:35" s="129" customFormat="1" x14ac:dyDescent="0.25">
      <c r="A59" s="22">
        <v>4</v>
      </c>
      <c r="B59" s="22"/>
      <c r="C59" s="22"/>
      <c r="D59" s="22"/>
      <c r="E59" s="22"/>
      <c r="F59" s="22"/>
      <c r="G59" s="22"/>
      <c r="H59" s="22"/>
      <c r="I59" s="22"/>
      <c r="J59" s="22"/>
      <c r="K59" s="22"/>
      <c r="L59" s="22"/>
      <c r="M59" s="22"/>
      <c r="N59" s="22"/>
      <c r="O59" s="22"/>
      <c r="P59" s="22"/>
    </row>
    <row r="60" spans="1:35" x14ac:dyDescent="0.25">
      <c r="A60" s="22">
        <v>5</v>
      </c>
    </row>
  </sheetData>
  <sheetProtection sheet="1" objects="1" scenarios="1"/>
  <conditionalFormatting sqref="C48">
    <cfRule type="cellIs" dxfId="71" priority="50" operator="equal">
      <formula>"Res.Oper. negativo"</formula>
    </cfRule>
  </conditionalFormatting>
  <conditionalFormatting sqref="C50">
    <cfRule type="cellIs" dxfId="70" priority="47" operator="equal">
      <formula>"Res.x Prod.negativo"</formula>
    </cfRule>
  </conditionalFormatting>
  <conditionalFormatting sqref="C53">
    <cfRule type="cellIs" dxfId="69" priority="46" operator="lessThan">
      <formula>0</formula>
    </cfRule>
  </conditionalFormatting>
  <conditionalFormatting sqref="C20">
    <cfRule type="cellIs" dxfId="68" priority="44" operator="lessThan">
      <formula>1</formula>
    </cfRule>
  </conditionalFormatting>
  <conditionalFormatting sqref="C30">
    <cfRule type="cellIs" dxfId="67" priority="43" operator="lessThan">
      <formula>1</formula>
    </cfRule>
  </conditionalFormatting>
  <conditionalFormatting sqref="C40">
    <cfRule type="cellIs" dxfId="66" priority="42" operator="equal">
      <formula>"Sin Deuda Estr."</formula>
    </cfRule>
  </conditionalFormatting>
  <conditionalFormatting sqref="C23">
    <cfRule type="cellIs" dxfId="65" priority="37" operator="equal">
      <formula>0</formula>
    </cfRule>
    <cfRule type="colorScale" priority="38">
      <colorScale>
        <cfvo type="num" val="0.5"/>
        <cfvo type="num" val="0.6"/>
        <cfvo type="num" val="0.7"/>
        <color rgb="FFFF0000"/>
        <color rgb="FFFFFF00"/>
        <color rgb="FF00B050"/>
      </colorScale>
    </cfRule>
  </conditionalFormatting>
  <conditionalFormatting sqref="C47">
    <cfRule type="cellIs" dxfId="64" priority="30" operator="equal">
      <formula>"Margen negativo"</formula>
    </cfRule>
    <cfRule type="cellIs" dxfId="63" priority="31" operator="equal">
      <formula>"Res.x Prod.negativo"</formula>
    </cfRule>
  </conditionalFormatting>
  <conditionalFormatting sqref="C22">
    <cfRule type="cellIs" dxfId="62" priority="28" operator="lessThan">
      <formula>0</formula>
    </cfRule>
  </conditionalFormatting>
  <conditionalFormatting sqref="C33">
    <cfRule type="expression" dxfId="61" priority="24" stopIfTrue="1">
      <formula>$C$35="Indique años"</formula>
    </cfRule>
    <cfRule type="cellIs" dxfId="60" priority="25" operator="between">
      <formula>0</formula>
      <formula>$C$35</formula>
    </cfRule>
    <cfRule type="cellIs" dxfId="59" priority="26" operator="greaterThan">
      <formula>$C$35</formula>
    </cfRule>
    <cfRule type="cellIs" dxfId="58" priority="27" operator="lessThan">
      <formula>0</formula>
    </cfRule>
  </conditionalFormatting>
  <conditionalFormatting sqref="C9">
    <cfRule type="cellIs" dxfId="57" priority="22" operator="between">
      <formula>$T$15</formula>
      <formula>$U$15</formula>
    </cfRule>
    <cfRule type="cellIs" dxfId="56" priority="23" operator="greaterThan">
      <formula>$S$15</formula>
    </cfRule>
  </conditionalFormatting>
  <conditionalFormatting sqref="AI48">
    <cfRule type="cellIs" dxfId="55" priority="21" operator="equal">
      <formula>"Res.Oper. negativo"</formula>
    </cfRule>
  </conditionalFormatting>
  <conditionalFormatting sqref="AI50">
    <cfRule type="cellIs" dxfId="54" priority="20" operator="equal">
      <formula>"Res.x Prod.negativo"</formula>
    </cfRule>
  </conditionalFormatting>
  <conditionalFormatting sqref="AI53">
    <cfRule type="cellIs" dxfId="53" priority="19" operator="lessThan">
      <formula>0</formula>
    </cfRule>
  </conditionalFormatting>
  <conditionalFormatting sqref="AI20">
    <cfRule type="cellIs" dxfId="52" priority="18" operator="lessThan">
      <formula>1</formula>
    </cfRule>
  </conditionalFormatting>
  <conditionalFormatting sqref="AI30">
    <cfRule type="cellIs" dxfId="51" priority="17" operator="lessThan">
      <formula>1</formula>
    </cfRule>
  </conditionalFormatting>
  <conditionalFormatting sqref="AI40">
    <cfRule type="cellIs" dxfId="50" priority="16" operator="equal">
      <formula>"Sin Deuda Estr."</formula>
    </cfRule>
  </conditionalFormatting>
  <conditionalFormatting sqref="AI23">
    <cfRule type="cellIs" dxfId="49" priority="14" operator="equal">
      <formula>0</formula>
    </cfRule>
    <cfRule type="colorScale" priority="15">
      <colorScale>
        <cfvo type="num" val="0.5"/>
        <cfvo type="num" val="0.6"/>
        <cfvo type="num" val="0.7"/>
        <color rgb="FFFF0000"/>
        <color rgb="FFFFFF00"/>
        <color rgb="FF00B050"/>
      </colorScale>
    </cfRule>
  </conditionalFormatting>
  <conditionalFormatting sqref="AI47">
    <cfRule type="cellIs" dxfId="48" priority="8" operator="equal">
      <formula>"Margen negativo"</formula>
    </cfRule>
    <cfRule type="cellIs" dxfId="47" priority="9" operator="equal">
      <formula>"Res.x Prod.negativo"</formula>
    </cfRule>
  </conditionalFormatting>
  <conditionalFormatting sqref="AI22">
    <cfRule type="cellIs" dxfId="46" priority="7" operator="lessThan">
      <formula>0</formula>
    </cfRule>
  </conditionalFormatting>
  <conditionalFormatting sqref="AI33">
    <cfRule type="expression" dxfId="45" priority="3" stopIfTrue="1">
      <formula>$C$35="Indique años"</formula>
    </cfRule>
    <cfRule type="cellIs" dxfId="44" priority="4" operator="between">
      <formula>0</formula>
      <formula>$C$35</formula>
    </cfRule>
    <cfRule type="cellIs" dxfId="43" priority="5" operator="greaterThan">
      <formula>$C$35</formula>
    </cfRule>
    <cfRule type="cellIs" dxfId="42" priority="6" operator="lessThan">
      <formula>0</formula>
    </cfRule>
  </conditionalFormatting>
  <conditionalFormatting sqref="AI9">
    <cfRule type="cellIs" dxfId="41" priority="1" operator="between">
      <formula>$T$15</formula>
      <formula>$U$15</formula>
    </cfRule>
    <cfRule type="cellIs" dxfId="40" priority="2" operator="greaterThan">
      <formula>$S$15</formula>
    </cfRule>
  </conditionalFormatting>
  <dataValidations count="46">
    <dataValidation type="list" allowBlank="1" showInputMessage="1" showErrorMessage="1" sqref="C35 AI35" xr:uid="{00000000-0002-0000-0200-000000000000}">
      <formula1>$A$56:$A$60</formula1>
    </dataValidation>
    <dataValidation allowBlank="1" showInputMessage="1" showErrorMessage="1" prompt="SI es negativo se retira más que la Utilidad." sqref="F53" xr:uid="{00000000-0002-0000-0200-000001000000}"/>
    <dataValidation allowBlank="1" showInputMessage="1" showErrorMessage="1" prompt="Si es mayor que el 100% pago más retiros que los intereses." sqref="F51" xr:uid="{00000000-0002-0000-0200-000002000000}"/>
    <dataValidation allowBlank="1" showInputMessage="1" showErrorMessage="1" prompt="Si es negativo, no se alcanzan a pagar los intereses." sqref="F50" xr:uid="{00000000-0002-0000-0200-000003000000}"/>
    <dataValidation allowBlank="1" showInputMessage="1" showErrorMessage="1" prompt="Debe ser inferior a 100%. Si es mayor, no alcanza a pagar los intereses." sqref="F49" xr:uid="{00000000-0002-0000-0200-000004000000}"/>
    <dataValidation allowBlank="1" showInputMessage="1" showErrorMessage="1" prompt="Si es negativo no se alcanza a compensar la depresiación de los bienes de uso." sqref="F48" xr:uid="{00000000-0002-0000-0200-000005000000}"/>
    <dataValidation allowBlank="1" showInputMessage="1" showErrorMessage="1" prompt="Debe ser positivo - Si es negativo el margen bruto es muy bajo, los gastos indirectos son excesivos o hay problemas de escala, o no se compensara la depresiación de los bienes de uso (amortizaciones)." sqref="F47" xr:uid="{00000000-0002-0000-0200-000006000000}"/>
    <dataValidation allowBlank="1" showInputMessage="1" showErrorMessage="1" prompt="Si es mayor al 100%, el margen bruto es muy bajo, los gastos indirectos son excesivos o hay problemas de escala_x000a_" sqref="F46" xr:uid="{00000000-0002-0000-0200-000007000000}"/>
    <dataValidation allowBlank="1" showInputMessage="1" showErrorMessage="1" prompt="Si es mayor al 100%, el margen bruto es muy bajo, los gastos indirectos son excesivos o hay problemas de escala." sqref="F45" xr:uid="{00000000-0002-0000-0200-000008000000}"/>
    <dataValidation allowBlank="1" showInputMessage="1" showErrorMessage="1" prompt="Si el resultado es negativo, indica que se paga el impuesto, a pesar de que el resultado es negativo. Esto puede ocurrir, si se está pagando el impuesto correspondiente al ejercicio anterior." sqref="F36" xr:uid="{00000000-0002-0000-0200-000009000000}"/>
    <dataValidation allowBlank="1" showInputMessage="1" showErrorMessage="1" prompt="Si el número es negativo, indica la cantidad de años necesarios para duplicar la deuda." sqref="F33" xr:uid="{00000000-0002-0000-0200-00000A000000}"/>
    <dataValidation allowBlank="1" showInputMessage="1" showErrorMessage="1" prompt="Relacionado con el indicador de cobertura de corto plazo, si es mayor que 1, indica que puede devolver el crédito, y volver a sacarlo (si hay disponibilidad crediticia)." sqref="F31" xr:uid="{00000000-0002-0000-0200-00000B000000}"/>
    <dataValidation allowBlank="1" showInputMessage="1" showErrorMessage="1" prompt="Si es menor que 1, el crecimiento no cubre las deudas de corto plazo, según sea su situación de liquidez al final de la campaña (ver indicador siguiente). Las deudas tendrán que refinanciarse, reestructurarse, cubrirse con aportes del empresario." sqref="F30 F32" xr:uid="{00000000-0002-0000-0200-00000C000000}"/>
    <dataValidation allowBlank="1" showInputMessage="1" showErrorMessage="1" prompt="Si es menor al 50% el respaldo es &quot;débil&quot;. Entre 50 y 70% es &quot;medio&quot;, y superando el 70% es &quot;fuerte&quot;." sqref="F23" xr:uid="{00000000-0002-0000-0200-00000D000000}"/>
    <dataValidation allowBlank="1" showInputMessage="1" showErrorMessage="1" prompt="Si es menor que 1, los pasivos superan al total de los activos, y la empresa comienza a tener un patrimonio neto negativo (se vuelve insolvente)._x000a_" sqref="F22" xr:uid="{00000000-0002-0000-0200-00000E000000}"/>
    <dataValidation allowBlank="1" showInputMessage="1" showErrorMessage="1" prompt="Si es menor que 1, los activos corrientes no alcanzan a pagar las deudas de corto plazo y la empresa tendría que reestructurar las deudas. CUANDO ES MENOR QUE 1,6 LA EMPRESA COMIENZA A &quot;PERDER LIBERTAD&quot;._x000a__x000a_" sqref="F20" xr:uid="{00000000-0002-0000-0200-00000F000000}"/>
    <dataValidation allowBlank="1" showInputMessage="1" showErrorMessage="1" promptTitle="ÍNDICE DUPONT" prompt="El índice Dupont es un indicador importante para el análisis económico y operativo de una empresa. Reúne el margen neto de utilidades, la rotación de los activos totales de la empresa y de su apalancamiento financiero." sqref="E11" xr:uid="{00000000-0002-0000-0200-000010000000}"/>
    <dataValidation allowBlank="1" showInputMessage="1" showErrorMessage="1" promptTitle="RENTABILIDAD DEL PATRIMONIO NETO" prompt="Este indicador consiste en la relación entre la Utilidad y el Patrimonio neto. Como tal, refleja el retorno de la empresa en función de recursos genuinos." sqref="E10" xr:uid="{00000000-0002-0000-0200-000011000000}"/>
    <dataValidation allowBlank="1" showInputMessage="1" showErrorMessage="1" promptTitle="RENTABILIDAD DEL ACTIVO" prompt="Es la relación entre el Resultado por producción y el Activo." sqref="E9" xr:uid="{00000000-0002-0000-0200-000012000000}"/>
    <dataValidation allowBlank="1" showInputMessage="1" showErrorMessage="1" promptTitle="PRESIÓN DE LOS ACCIONISTAS" prompt="Cuánto representan los retiros del Resultado por Producción. " sqref="E53" xr:uid="{00000000-0002-0000-0200-000013000000}"/>
    <dataValidation allowBlank="1" showInputMessage="1" showErrorMessage="1" promptTitle="PRESIÓN FISCAL" prompt="Cuánto representan los impuestos (IG y BBPP) del Resultado por Producción." sqref="E52" xr:uid="{00000000-0002-0000-0200-000014000000}"/>
    <dataValidation allowBlank="1" showInputMessage="1" showErrorMessage="1" promptTitle="RETIROS/INTERESES" prompt="Sirve para visualizar cuál es el porcentaje de los retiros empresarios, con respecto a los intereses que paga la empresa (¿Para quién trabajo, para los socios, o para el sistema financiero?)." sqref="E51" xr:uid="{00000000-0002-0000-0200-000015000000}"/>
    <dataValidation allowBlank="1" showInputMessage="1" showErrorMessage="1" promptTitle="BENEFICIO NETO/BAII" prompt="Cuánto representa la utilidad del Resultado por Producción.  " sqref="E50" xr:uid="{00000000-0002-0000-0200-000016000000}"/>
    <dataValidation allowBlank="1" showInputMessage="1" showErrorMessage="1" promptTitle="INTERESES/BAII" prompt="Cuánto representan los intereses del Resultado por Producción. " sqref="E49" xr:uid="{00000000-0002-0000-0200-000017000000}"/>
    <dataValidation allowBlank="1" showInputMessage="1" showErrorMessage="1" promptTitle="AMORTIZACIONES/EBITDA" prompt="Cuánto descuenta las amortizaciones del resultado operativo. " sqref="E48" xr:uid="{00000000-0002-0000-0200-000018000000}"/>
    <dataValidation allowBlank="1" showInputMessage="1" showErrorMessage="1" promptTitle="BAII/MARGEN BRUTO" prompt="Cuánto representa el Resultado por Producción del margen bruto global. " sqref="E47" xr:uid="{00000000-0002-0000-0200-000019000000}"/>
    <dataValidation allowBlank="1" showInputMessage="1" showErrorMessage="1" promptTitle="EBITDA/MARGEN BRUTO" prompt="Cuánto representa el Resultado Operativo del margen bruto global." sqref="E46" xr:uid="{00000000-0002-0000-0200-00001A000000}"/>
    <dataValidation allowBlank="1" showInputMessage="1" showErrorMessage="1" promptTitle="INDIRECTOS/MARGEN BRUTO" prompt="Cuánto representan los gastos indirectos del margen bruto global." sqref="E45" xr:uid="{00000000-0002-0000-0200-00001B000000}"/>
    <dataValidation allowBlank="1" showInputMessage="1" showErrorMessage="1" promptTitle="MARGEN BRUTO/INGRESO NETO" prompt="Cuánto queda de margen bruto global sobre el ingreso neto." sqref="E44" xr:uid="{00000000-0002-0000-0200-00001C000000}"/>
    <dataValidation allowBlank="1" showInputMessage="1" showErrorMessage="1" promptTitle="MÁXIMO PLAZO DE MERCADO" prompt="Debe indicarse cual es el plazo máximo de endeudamiento en el mercado financiero." sqref="E35" xr:uid="{00000000-0002-0000-0200-00001D000000}"/>
    <dataValidation allowBlank="1" showInputMessage="1" showErrorMessage="1" promptTitle="DEUDA ESTRUCTURAL" prompt="Indica la cantidad de deuda que supera la máxima que puede pagarse en los años que ofrece el mercado, si se mantienen los parámetros indicados." sqref="E39" xr:uid="{00000000-0002-0000-0200-00001E000000}"/>
    <dataValidation allowBlank="1" showInputMessage="1" showErrorMessage="1" promptTitle="MÁXIMA DEUDA POTENCIAL" prompt="Indica cuanto sería el máximo endeudamiento que soporta la empresa para pagar el total de la deuda, si se mantienen todos los parámetros indicados " sqref="E38" xr:uid="{00000000-0002-0000-0200-00001F000000}"/>
    <dataValidation allowBlank="1" showInputMessage="1" showErrorMessage="1" promptTitle="COSTO DEL CRÉDITO" prompt="Indica el porcentaje que representan los intereses pagados (costo del crédito) sobre el total del endeudamiento, según lo indicado en el Cuadro de Resultados." sqref="E37" xr:uid="{00000000-0002-0000-0200-000020000000}"/>
    <dataValidation allowBlank="1" showInputMessage="1" showErrorMessage="1" promptTitle="% DE IMPUESTO A LAS GANANCIAS" prompt="Indica el % del resultado que se paga de Impuesto a las Ganancias, según lo indicado en el Cuadro de Resultados." sqref="E36" xr:uid="{00000000-0002-0000-0200-000021000000}"/>
    <dataValidation allowBlank="1" showInputMessage="1" showErrorMessage="1" promptTitle="AÑOS PARA DEVOLVER PASIVO TOTAL" prompt="Indica la cantidad de años en que se devuelve el total de la deuda, si se mantienen todos los valores utilizados para el cálculo." sqref="E33" xr:uid="{00000000-0002-0000-0200-000022000000}"/>
    <dataValidation allowBlank="1" showInputMessage="1" showErrorMessage="1" promptTitle="COBERTURA DE DEUDA TOTAL" prompt="Indica el porcentaje del pasivo total, que cubre el crecimiento patrimonial." sqref="E32" xr:uid="{00000000-0002-0000-0200-000023000000}"/>
    <dataValidation allowBlank="1" showInputMessage="1" showErrorMessage="1" promptTitle="INGRESO NETO/PASIVO CORRIENTE" prompt="Cuantas veces pagan las Ventas los Pasivos de Corto Plazo." sqref="E31" xr:uid="{00000000-0002-0000-0200-000024000000}"/>
    <dataValidation allowBlank="1" showInputMessage="1" showErrorMessage="1" promptTitle="CALIDA DE DEUDA" prompt="Proporción de la deuda total que debe pagarse en el corto plazo." sqref="E29" xr:uid="{00000000-0002-0000-0200-000025000000}"/>
    <dataValidation allowBlank="1" showInputMessage="1" showErrorMessage="1" promptTitle="COBERTURA DE DEUDA" prompt="Indica el porcentaje del pasivo de corto plazo, que cubre el crecimiento patrimonial. _x000a_" sqref="E30" xr:uid="{00000000-0002-0000-0200-000026000000}"/>
    <dataValidation allowBlank="1" showInputMessage="1" showErrorMessage="1" promptTitle="ENDEUDAMIENTO/PN" prompt="Si supera el 100% entra en una situación de quebranto." sqref="E28" xr:uid="{00000000-0002-0000-0200-000027000000}"/>
    <dataValidation allowBlank="1" showInputMessage="1" showErrorMessage="1" promptTitle="ENDEUDAMIENTO/ACTIVO" prompt="Si supera el 100% entra en una situación de quebranto (patrimonio neto negativo)" sqref="E27" xr:uid="{00000000-0002-0000-0200-000028000000}"/>
    <dataValidation allowBlank="1" showInputMessage="1" showErrorMessage="1" promptTitle="RESPALDO" prompt="Indica el porcentaje que representa el Activo NO Corriente sobre el Activo Total. " sqref="E23" xr:uid="{00000000-0002-0000-0200-000029000000}"/>
    <dataValidation allowBlank="1" showInputMessage="1" showErrorMessage="1" promptTitle="SOLVENCIA" prompt="Indica la cantidad de veces que el total del activo alcanza para cubrir el total de los pasivos. " sqref="E22" xr:uid="{00000000-0002-0000-0200-00002A000000}"/>
    <dataValidation allowBlank="1" showInputMessage="1" showErrorMessage="1" promptTitle="PRUEBA ÁCIDA" prompt="Indica la cantidad de veces que el &quot;activo corriente disponible&quot; alcanza para pagar los pasivos corrientes. Es una &quot;barrera más alta&quot; del indicador de liquidez, que en muchos casos es más realista, ya que incluye solo los bienes de fácil disponibilidad." sqref="E21" xr:uid="{00000000-0002-0000-0200-00002B000000}"/>
    <dataValidation allowBlank="1" showInputMessage="1" showErrorMessage="1" promptTitle="LIQUIDEZ" prompt="Indica la cantidad de veces que el activo corriente alcanza para pagar los pasivos corrientes." sqref="E20" xr:uid="{00000000-0002-0000-0200-00002C000000}"/>
    <dataValidation allowBlank="1" showInputMessage="1" showErrorMessage="1" promptTitle="CAPITAL DE TRABAJO" prompt="Capital de trabajo (Activo Corriente - Pasivo Corriente), sobre el total de los activos" sqref="E19" xr:uid="{00000000-0002-0000-0200-00002D000000}"/>
  </dataValidations>
  <pageMargins left="0.7" right="0.7" top="0.75" bottom="0.75" header="0.3" footer="0.3"/>
  <pageSetup orientation="portrait" r:id="rId1"/>
  <ignoredErrors>
    <ignoredError sqref="T13" formulaRange="1"/>
  </ignoredErrors>
  <drawing r:id="rId2"/>
  <extLst>
    <ext xmlns:x14="http://schemas.microsoft.com/office/spreadsheetml/2009/9/main" uri="{78C0D931-6437-407d-A8EE-F0AAD7539E65}">
      <x14:conditionalFormattings>
        <x14:conditionalFormatting xmlns:xm="http://schemas.microsoft.com/office/excel/2006/main">
          <x14:cfRule type="expression" priority="35" id="{4DD45C28-B3D1-4B35-BB2B-05D3B39D150E}">
            <xm:f>'Carga de datos'!$D$8="$"</xm:f>
            <x14:dxf>
              <numFmt numFmtId="175" formatCode="&quot;$&quot;\ #,##0.00;[Red]&quot;$&quot;\ #,##0.00"/>
            </x14:dxf>
          </x14:cfRule>
          <x14:cfRule type="expression" priority="36" id="{D6DDE523-379C-4694-96FC-FAC18C8AA820}">
            <xm:f>'Carga de datos'!$D$8="USD"</xm:f>
            <x14:dxf>
              <numFmt numFmtId="174" formatCode="&quot;USD&quot;\ #,##0"/>
            </x14:dxf>
          </x14:cfRule>
          <xm:sqref>C38</xm:sqref>
        </x14:conditionalFormatting>
        <x14:conditionalFormatting xmlns:xm="http://schemas.microsoft.com/office/excel/2006/main">
          <x14:cfRule type="expression" priority="32" id="{C2DF2747-DE9F-4A5A-ABF0-E6085CE89308}">
            <xm:f>'Carga de datos'!$D$8="$"</xm:f>
            <x14:dxf>
              <numFmt numFmtId="175" formatCode="&quot;$&quot;\ #,##0.00;[Red]&quot;$&quot;\ #,##0.00"/>
            </x14:dxf>
          </x14:cfRule>
          <x14:cfRule type="expression" priority="33" id="{110D63D2-1CB0-4E7A-BFF4-CD4196B23CE6}">
            <xm:f>'Carga de datos'!$D$8="USD"</xm:f>
            <x14:dxf>
              <numFmt numFmtId="174" formatCode="&quot;USD&quot;\ #,##0"/>
            </x14:dxf>
          </x14:cfRule>
          <xm:sqref>C39</xm:sqref>
        </x14:conditionalFormatting>
        <x14:conditionalFormatting xmlns:xm="http://schemas.microsoft.com/office/excel/2006/main">
          <x14:cfRule type="expression" priority="12" id="{D49A08AD-2029-4E29-A20F-56E9D29A3983}">
            <xm:f>'Carga de datos'!$D$8="$"</xm:f>
            <x14:dxf>
              <numFmt numFmtId="175" formatCode="&quot;$&quot;\ #,##0.00;[Red]&quot;$&quot;\ #,##0.00"/>
            </x14:dxf>
          </x14:cfRule>
          <x14:cfRule type="expression" priority="13" id="{46B7CDD1-E26F-4024-A1D5-E2EDFA08134F}">
            <xm:f>'Carga de datos'!$D$8="USD"</xm:f>
            <x14:dxf>
              <numFmt numFmtId="174" formatCode="&quot;USD&quot;\ #,##0"/>
            </x14:dxf>
          </x14:cfRule>
          <xm:sqref>AI38</xm:sqref>
        </x14:conditionalFormatting>
        <x14:conditionalFormatting xmlns:xm="http://schemas.microsoft.com/office/excel/2006/main">
          <x14:cfRule type="expression" priority="10" id="{ABBDF0DA-72E8-407B-97FF-C33E13A83C8B}">
            <xm:f>'Carga de datos'!$D$8="$"</xm:f>
            <x14:dxf>
              <numFmt numFmtId="175" formatCode="&quot;$&quot;\ #,##0.00;[Red]&quot;$&quot;\ #,##0.00"/>
            </x14:dxf>
          </x14:cfRule>
          <x14:cfRule type="expression" priority="11" id="{06845D41-D1B3-493C-A5A9-E81501B95CD1}">
            <xm:f>'Carga de datos'!$D$8="USD"</xm:f>
            <x14:dxf>
              <numFmt numFmtId="174" formatCode="&quot;USD&quot;\ #,##0"/>
            </x14:dxf>
          </x14:cfRule>
          <xm:sqref>AI39</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sheetPr>
  <dimension ref="A1:BA69"/>
  <sheetViews>
    <sheetView showGridLines="0" tabSelected="1" topLeftCell="A8" zoomScale="80" zoomScaleNormal="80" workbookViewId="0">
      <selection activeCell="E27" sqref="E27"/>
    </sheetView>
  </sheetViews>
  <sheetFormatPr defaultColWidth="11.42578125" defaultRowHeight="15" zeroHeight="1" x14ac:dyDescent="0.25"/>
  <cols>
    <col min="1" max="1" width="1.42578125" style="18" customWidth="1"/>
    <col min="2" max="2" width="24.28515625" customWidth="1"/>
    <col min="3" max="3" width="12.42578125" bestFit="1" customWidth="1"/>
    <col min="5" max="5" width="15.28515625" customWidth="1"/>
    <col min="6" max="6" width="2.5703125" customWidth="1"/>
    <col min="7" max="7" width="37.140625" customWidth="1"/>
    <col min="8" max="8" width="31.28515625" bestFit="1" customWidth="1"/>
    <col min="9" max="9" width="16" customWidth="1"/>
    <col min="10" max="10" width="2.5703125" customWidth="1"/>
    <col min="12" max="12" width="17.140625" customWidth="1"/>
    <col min="18" max="21" width="11.42578125" style="8"/>
    <col min="22" max="24" width="11.42578125" style="248"/>
    <col min="25" max="25" width="14.28515625" style="248" bestFit="1" customWidth="1"/>
    <col min="26" max="31" width="11.42578125" style="248"/>
    <col min="32" max="32" width="37.28515625" style="248" customWidth="1"/>
    <col min="33" max="34" width="11.42578125" style="248"/>
    <col min="35" max="35" width="23.42578125" style="248" customWidth="1"/>
    <col min="36" max="47" width="11.42578125" style="248"/>
    <col min="48" max="48" width="13.7109375" style="248" bestFit="1" customWidth="1"/>
    <col min="49" max="52" width="11.42578125" style="248"/>
    <col min="53" max="53" width="13.7109375" style="248" bestFit="1" customWidth="1"/>
    <col min="54" max="16384" width="11.42578125" style="248"/>
  </cols>
  <sheetData>
    <row r="1" spans="1:53" s="129" customFormat="1" x14ac:dyDescent="0.25">
      <c r="A1" s="22"/>
      <c r="B1" s="22"/>
      <c r="C1" s="22"/>
      <c r="D1" s="22"/>
      <c r="E1" s="22"/>
      <c r="F1" s="22"/>
      <c r="G1" s="22"/>
      <c r="H1" s="22"/>
      <c r="I1" s="22"/>
      <c r="J1" s="22"/>
      <c r="K1" s="22"/>
      <c r="L1" s="22"/>
      <c r="M1" s="22"/>
      <c r="N1" s="22"/>
      <c r="O1" s="22"/>
      <c r="P1" s="22"/>
      <c r="Q1" s="22"/>
      <c r="R1" s="32"/>
      <c r="S1" s="32"/>
      <c r="T1" s="32"/>
      <c r="U1" s="32"/>
    </row>
    <row r="2" spans="1:53" s="129" customFormat="1" x14ac:dyDescent="0.25">
      <c r="A2" s="22"/>
      <c r="B2" s="22"/>
      <c r="C2" s="41"/>
      <c r="D2" s="22"/>
      <c r="E2" s="22"/>
      <c r="F2" s="22"/>
      <c r="G2" s="22"/>
      <c r="H2" s="22"/>
      <c r="I2" s="22"/>
      <c r="J2" s="22"/>
      <c r="K2" s="22"/>
      <c r="L2" s="22"/>
      <c r="M2" s="22"/>
      <c r="N2" s="22"/>
      <c r="O2" s="22"/>
      <c r="P2" s="22"/>
      <c r="Q2" s="22"/>
      <c r="R2" s="32"/>
      <c r="S2" s="32"/>
      <c r="T2" s="32"/>
      <c r="U2" s="32"/>
    </row>
    <row r="3" spans="1:53" s="129" customFormat="1" ht="21" x14ac:dyDescent="0.35">
      <c r="A3" s="22"/>
      <c r="B3" s="22"/>
      <c r="C3" s="41"/>
      <c r="D3" s="22"/>
      <c r="E3" s="22"/>
      <c r="F3" s="22"/>
      <c r="G3" s="22"/>
      <c r="H3" s="42" t="s">
        <v>83</v>
      </c>
      <c r="I3" s="22"/>
      <c r="J3" s="22"/>
      <c r="K3" s="22"/>
      <c r="L3" s="22"/>
      <c r="M3" s="22"/>
      <c r="N3" s="22"/>
      <c r="O3" s="22"/>
      <c r="P3" s="22"/>
      <c r="Q3" s="22"/>
      <c r="R3" s="32"/>
      <c r="S3" s="32"/>
      <c r="T3" s="32"/>
      <c r="U3" s="32"/>
    </row>
    <row r="4" spans="1:53" s="129" customFormat="1" ht="21" x14ac:dyDescent="0.35">
      <c r="A4" s="22"/>
      <c r="B4" s="22"/>
      <c r="C4" s="41"/>
      <c r="D4" s="22"/>
      <c r="E4" s="22"/>
      <c r="F4" s="42"/>
      <c r="G4" s="22"/>
      <c r="H4" s="22"/>
      <c r="I4" s="22"/>
      <c r="J4" s="22"/>
      <c r="K4" s="22"/>
      <c r="L4" s="22"/>
      <c r="M4" s="22"/>
      <c r="N4" s="22"/>
      <c r="O4" s="22"/>
      <c r="P4" s="22"/>
      <c r="Q4" s="22"/>
      <c r="R4" s="32"/>
      <c r="S4" s="32"/>
      <c r="T4" s="32"/>
      <c r="U4" s="32"/>
    </row>
    <row r="5" spans="1:53" s="129" customFormat="1" ht="15.75" thickBot="1" x14ac:dyDescent="0.3">
      <c r="A5" s="88"/>
      <c r="B5" s="88"/>
      <c r="C5" s="89"/>
      <c r="D5" s="88"/>
      <c r="E5" s="88"/>
      <c r="F5" s="88"/>
      <c r="G5" s="88"/>
      <c r="H5" s="88"/>
      <c r="I5" s="88"/>
      <c r="J5" s="88"/>
      <c r="K5" s="88"/>
      <c r="L5" s="88"/>
      <c r="M5" s="88"/>
      <c r="N5" s="88"/>
      <c r="O5" s="88"/>
      <c r="P5" s="88"/>
      <c r="Q5" s="88"/>
    </row>
    <row r="6" spans="1:53" ht="15.75" thickTop="1" x14ac:dyDescent="0.25">
      <c r="B6" s="18"/>
      <c r="C6" s="18"/>
      <c r="D6" s="18"/>
      <c r="E6" s="18"/>
      <c r="F6" s="18"/>
      <c r="G6" s="18"/>
      <c r="H6" s="18"/>
      <c r="I6" s="18"/>
      <c r="J6" s="18"/>
      <c r="K6" s="18"/>
      <c r="L6" s="18"/>
      <c r="M6" s="18"/>
      <c r="N6" s="18"/>
      <c r="O6" s="18"/>
      <c r="P6" s="18"/>
      <c r="Q6" s="18"/>
      <c r="R6" s="248"/>
      <c r="S6" s="248"/>
      <c r="T6" s="248"/>
      <c r="U6" s="248"/>
    </row>
    <row r="7" spans="1:53" ht="24" thickBot="1" x14ac:dyDescent="0.4">
      <c r="B7" s="80" t="s">
        <v>49</v>
      </c>
      <c r="C7" s="80"/>
      <c r="D7" s="81"/>
      <c r="E7" s="81"/>
      <c r="F7" s="81"/>
      <c r="G7" s="81"/>
      <c r="H7" s="81"/>
      <c r="I7" s="81"/>
      <c r="J7" s="81"/>
      <c r="K7" s="81"/>
      <c r="L7" s="81"/>
      <c r="M7" s="81"/>
      <c r="N7" s="81"/>
      <c r="O7" s="81"/>
      <c r="P7" s="81"/>
      <c r="Q7" s="81"/>
      <c r="AF7" s="248" t="s">
        <v>107</v>
      </c>
      <c r="AI7" s="248" t="s">
        <v>108</v>
      </c>
      <c r="AM7" s="248" t="s">
        <v>113</v>
      </c>
    </row>
    <row r="8" spans="1:53" s="129" customFormat="1" x14ac:dyDescent="0.25">
      <c r="A8" s="22"/>
      <c r="B8" s="142"/>
      <c r="C8"/>
      <c r="D8"/>
      <c r="E8"/>
      <c r="F8" s="22"/>
      <c r="G8" s="22"/>
      <c r="H8" s="22"/>
      <c r="I8" s="22"/>
      <c r="J8" s="22"/>
      <c r="K8" s="22"/>
      <c r="L8" s="22"/>
      <c r="M8" s="22"/>
      <c r="N8" s="22"/>
      <c r="O8" s="22"/>
      <c r="P8" s="22"/>
      <c r="Q8" s="22"/>
      <c r="R8" s="32"/>
      <c r="S8" s="32"/>
      <c r="T8" s="32"/>
      <c r="U8" s="32"/>
      <c r="AJ8" s="129" t="s">
        <v>109</v>
      </c>
      <c r="AK8" s="129" t="s">
        <v>110</v>
      </c>
      <c r="AS8" s="129" t="s">
        <v>100</v>
      </c>
    </row>
    <row r="9" spans="1:53" ht="15.75" customHeight="1" thickBot="1" x14ac:dyDescent="0.3">
      <c r="B9" s="46" t="s">
        <v>119</v>
      </c>
      <c r="C9" s="46"/>
      <c r="D9" s="46"/>
      <c r="E9" s="256" t="s">
        <v>82</v>
      </c>
      <c r="G9" s="127"/>
      <c r="H9" s="128"/>
      <c r="I9" s="129"/>
      <c r="J9" s="18"/>
      <c r="V9" s="248" t="s">
        <v>99</v>
      </c>
      <c r="W9" s="248" t="s">
        <v>100</v>
      </c>
      <c r="Y9" s="248" t="s">
        <v>101</v>
      </c>
      <c r="Z9" s="248" t="s">
        <v>102</v>
      </c>
      <c r="AF9" s="129" t="s">
        <v>172</v>
      </c>
      <c r="AG9" s="257">
        <f>+'Indicadores Empresariales'!C12</f>
        <v>0.26529795368445552</v>
      </c>
      <c r="AH9" s="257">
        <f>1-AG9</f>
        <v>0.73470204631554448</v>
      </c>
      <c r="AI9" s="129" t="s">
        <v>24</v>
      </c>
      <c r="AJ9" s="258">
        <f>+AL9-AK9</f>
        <v>0.80516835099860884</v>
      </c>
      <c r="AK9" s="258">
        <f>+'Indicadores Empresariales'!C28</f>
        <v>0.19483164900139113</v>
      </c>
      <c r="AL9" s="258">
        <v>1</v>
      </c>
      <c r="AN9" s="259">
        <v>0.1</v>
      </c>
      <c r="AO9" s="248">
        <v>1</v>
      </c>
      <c r="AQ9" s="129" t="s">
        <v>180</v>
      </c>
      <c r="AR9" s="259">
        <f>+'Indicadores Empresariales'!C19</f>
        <v>-3.9384714872842029E-2</v>
      </c>
      <c r="AS9" s="248">
        <f>+AR9*PI()</f>
        <v>-0.12373073090824918</v>
      </c>
      <c r="AV9" s="248" t="s">
        <v>103</v>
      </c>
      <c r="AW9" s="248" t="s">
        <v>104</v>
      </c>
      <c r="AZ9" s="248" t="s">
        <v>103</v>
      </c>
      <c r="BA9" s="248" t="s">
        <v>104</v>
      </c>
    </row>
    <row r="10" spans="1:53" ht="15" customHeight="1" x14ac:dyDescent="0.25">
      <c r="B10" s="204" t="s">
        <v>151</v>
      </c>
      <c r="D10" s="244">
        <f>(F10-50)/100</f>
        <v>0</v>
      </c>
      <c r="E10" s="245">
        <f>('Carga de datos'!D15)*(1+Tablero!D10)</f>
        <v>0</v>
      </c>
      <c r="F10" s="252">
        <v>50</v>
      </c>
      <c r="G10" s="113"/>
      <c r="H10" s="114"/>
      <c r="I10" s="58"/>
      <c r="J10" s="18"/>
      <c r="M10" s="135"/>
      <c r="V10" s="260">
        <v>0.1</v>
      </c>
      <c r="W10" s="129">
        <v>1</v>
      </c>
      <c r="Y10" s="261">
        <f>+'Indicadores Empresariales'!C9</f>
        <v>0.18664947357601921</v>
      </c>
      <c r="Z10" s="248">
        <f>+Y10*PI()</f>
        <v>0.58637661498282423</v>
      </c>
      <c r="AF10" s="129" t="s">
        <v>173</v>
      </c>
      <c r="AG10" s="257">
        <f>+'Indicadores Empresariales'!C13</f>
        <v>0.59528741778120497</v>
      </c>
      <c r="AH10" s="257">
        <f>1-AG10</f>
        <v>0.40471258221879503</v>
      </c>
      <c r="AI10" s="129" t="s">
        <v>23</v>
      </c>
      <c r="AJ10" s="258">
        <f>+AL10-AK10</f>
        <v>0.83693799108499822</v>
      </c>
      <c r="AK10" s="258">
        <f>+'Indicadores Empresariales'!C27</f>
        <v>0.1630620089150018</v>
      </c>
      <c r="AL10" s="258">
        <v>1</v>
      </c>
      <c r="AN10" s="259">
        <v>0.2</v>
      </c>
      <c r="AO10" s="262">
        <v>1</v>
      </c>
      <c r="AQ10" s="129" t="s">
        <v>181</v>
      </c>
      <c r="AR10" s="259">
        <f>+'Indicadores Empresariales'!C20</f>
        <v>0.70815298676743688</v>
      </c>
      <c r="AS10" s="248">
        <f>+AR10*PI()</f>
        <v>2.2247282208462495</v>
      </c>
      <c r="AU10" s="248" t="s">
        <v>105</v>
      </c>
      <c r="AV10" s="248">
        <v>0</v>
      </c>
      <c r="AW10" s="248">
        <v>0</v>
      </c>
      <c r="AY10" s="248" t="s">
        <v>105</v>
      </c>
      <c r="AZ10" s="248">
        <v>0</v>
      </c>
      <c r="BA10" s="248">
        <v>0</v>
      </c>
    </row>
    <row r="11" spans="1:53" ht="15" customHeight="1" x14ac:dyDescent="0.25">
      <c r="B11" s="206" t="s">
        <v>152</v>
      </c>
      <c r="D11" s="244">
        <f>(F11-50)/100</f>
        <v>0</v>
      </c>
      <c r="E11" s="245">
        <f>('Carga de datos'!D16)*(1+Tablero!D11)</f>
        <v>2929497.4207373271</v>
      </c>
      <c r="F11" s="253">
        <v>50</v>
      </c>
      <c r="G11" s="113"/>
      <c r="H11" s="114"/>
      <c r="I11" s="58"/>
      <c r="J11" s="18"/>
      <c r="V11" s="259">
        <v>0.2</v>
      </c>
      <c r="W11" s="248">
        <v>1</v>
      </c>
      <c r="Y11" s="261">
        <f>+'Indicadores Empresariales'!C10</f>
        <v>0.2230146982980766</v>
      </c>
      <c r="Z11" s="248">
        <f>+Y11*PI()</f>
        <v>0.70062133781578162</v>
      </c>
      <c r="AF11" s="129" t="s">
        <v>174</v>
      </c>
      <c r="AG11" s="257">
        <f>+'Indicadores Empresariales'!C14</f>
        <v>1.194831649001391</v>
      </c>
      <c r="AH11" s="257">
        <f>1-AG11</f>
        <v>-0.19483164900139105</v>
      </c>
      <c r="AN11" s="259">
        <v>0.3</v>
      </c>
      <c r="AO11" s="248">
        <v>1</v>
      </c>
      <c r="AQ11" s="248" t="s">
        <v>97</v>
      </c>
      <c r="AR11" s="259">
        <f>+'Indicadores Empresariales'!C21</f>
        <v>0.57010914989535566</v>
      </c>
      <c r="AS11" s="248">
        <f>+AR11*PI()</f>
        <v>1.7910507170555716</v>
      </c>
      <c r="AU11" s="248" t="s">
        <v>106</v>
      </c>
      <c r="AV11" s="248">
        <f>+COS(AS9)*-1</f>
        <v>-0.99235511373549157</v>
      </c>
      <c r="AW11" s="248">
        <f>+SIN(AS9)</f>
        <v>-0.12341526746322637</v>
      </c>
      <c r="AY11" s="248" t="s">
        <v>106</v>
      </c>
      <c r="AZ11" s="248">
        <f>+COS(AS18)*-1</f>
        <v>1</v>
      </c>
      <c r="BA11" s="248">
        <f>SIN(AS18)*-1</f>
        <v>-1.22514845490862E-16</v>
      </c>
    </row>
    <row r="12" spans="1:53" ht="15" customHeight="1" x14ac:dyDescent="0.25">
      <c r="B12" s="204" t="s">
        <v>53</v>
      </c>
      <c r="C12" s="115"/>
      <c r="D12" s="244">
        <f t="shared" ref="D12:D15" si="0">(F12-50)/100</f>
        <v>0</v>
      </c>
      <c r="E12" s="245">
        <f>('Carga de datos'!D18)*(1+Tablero!D12)</f>
        <v>74458.423870500948</v>
      </c>
      <c r="F12" s="253">
        <v>50</v>
      </c>
      <c r="G12" s="120"/>
      <c r="H12" s="114"/>
      <c r="I12" s="58"/>
      <c r="J12" s="18"/>
      <c r="N12" s="18"/>
      <c r="V12" s="260">
        <v>0.3</v>
      </c>
      <c r="W12" s="248">
        <v>1</v>
      </c>
      <c r="Y12" s="263">
        <f>+E16</f>
        <v>0.50503792260192459</v>
      </c>
      <c r="Z12" s="248">
        <f>+Y12*PI()</f>
        <v>1.5866234274304569</v>
      </c>
      <c r="AJ12" s="248" t="s">
        <v>111</v>
      </c>
      <c r="AK12" s="248" t="s">
        <v>112</v>
      </c>
      <c r="AN12" s="259">
        <v>0.4</v>
      </c>
      <c r="AO12" s="248">
        <v>1</v>
      </c>
      <c r="AQ12" s="129" t="s">
        <v>182</v>
      </c>
      <c r="AR12" s="259">
        <f>+'Indicadores Empresariales'!C22</f>
        <v>6.1326363305217404</v>
      </c>
      <c r="AS12" s="248">
        <f>+AR12*PI()</f>
        <v>19.266245243104965</v>
      </c>
    </row>
    <row r="13" spans="1:53" ht="15" customHeight="1" x14ac:dyDescent="0.25">
      <c r="B13" s="48" t="s">
        <v>153</v>
      </c>
      <c r="C13" s="115"/>
      <c r="D13" s="244">
        <f t="shared" si="0"/>
        <v>0</v>
      </c>
      <c r="E13" s="245">
        <f>('Carga de datos'!D19)*(1+Tablero!D13)</f>
        <v>362649.10202298948</v>
      </c>
      <c r="F13" s="253">
        <v>50</v>
      </c>
      <c r="G13" s="113"/>
      <c r="H13" s="114"/>
      <c r="I13" s="58"/>
      <c r="J13" s="18"/>
      <c r="V13" s="259">
        <v>0.4</v>
      </c>
      <c r="W13" s="248">
        <v>1</v>
      </c>
      <c r="Z13" s="248" t="s">
        <v>103</v>
      </c>
      <c r="AA13" s="248" t="s">
        <v>104</v>
      </c>
      <c r="AD13" s="248" t="s">
        <v>103</v>
      </c>
      <c r="AE13" s="248" t="s">
        <v>104</v>
      </c>
      <c r="AI13" s="129" t="s">
        <v>41</v>
      </c>
      <c r="AJ13" s="258">
        <f>+'Indicadores Empresariales'!C31</f>
        <v>4.4111746258741658</v>
      </c>
      <c r="AK13" s="258">
        <f>AL13-AJ13</f>
        <v>-3.4111746258741658</v>
      </c>
      <c r="AL13" s="258">
        <v>1</v>
      </c>
      <c r="AN13" s="259">
        <v>0.5</v>
      </c>
      <c r="AO13" s="248">
        <v>1</v>
      </c>
      <c r="AQ13" s="129" t="s">
        <v>183</v>
      </c>
      <c r="AR13" s="259">
        <f>+'Indicadores Empresariales'!C23</f>
        <v>0.90443485043322325</v>
      </c>
      <c r="AS13" s="248">
        <f>+AR13*PI()</f>
        <v>2.8413658817715977</v>
      </c>
      <c r="AV13" s="248" t="s">
        <v>103</v>
      </c>
      <c r="AW13" s="248" t="s">
        <v>104</v>
      </c>
    </row>
    <row r="14" spans="1:53" ht="15" customHeight="1" x14ac:dyDescent="0.25">
      <c r="B14" s="205" t="s">
        <v>54</v>
      </c>
      <c r="C14" s="195"/>
      <c r="D14" s="244">
        <f t="shared" si="0"/>
        <v>0</v>
      </c>
      <c r="E14" s="245">
        <f>('Carga de datos'!D20)*(1+Tablero!D14)</f>
        <v>37324.18583437537</v>
      </c>
      <c r="F14" s="253">
        <v>50</v>
      </c>
      <c r="G14" s="116"/>
      <c r="H14" s="114"/>
      <c r="I14" s="60"/>
      <c r="J14" s="18"/>
      <c r="V14" s="260">
        <v>0.5</v>
      </c>
      <c r="W14" s="248">
        <v>1</v>
      </c>
      <c r="Y14" s="248" t="s">
        <v>105</v>
      </c>
      <c r="Z14" s="248">
        <v>0</v>
      </c>
      <c r="AA14" s="248">
        <v>0</v>
      </c>
      <c r="AC14" s="248" t="s">
        <v>105</v>
      </c>
      <c r="AD14" s="248">
        <v>0</v>
      </c>
      <c r="AE14" s="248">
        <v>0</v>
      </c>
      <c r="AI14" s="128" t="s">
        <v>34</v>
      </c>
      <c r="AJ14" s="259">
        <f>+'Indicadores Empresariales'!C30</f>
        <v>0.90393866364234998</v>
      </c>
      <c r="AK14" s="258">
        <f>AL14-AJ14</f>
        <v>9.6061336357650018E-2</v>
      </c>
      <c r="AL14" s="258">
        <v>1</v>
      </c>
      <c r="AN14" s="259">
        <v>0.6</v>
      </c>
      <c r="AO14" s="248">
        <v>1</v>
      </c>
      <c r="AU14" s="248" t="s">
        <v>105</v>
      </c>
      <c r="AV14" s="248">
        <v>0</v>
      </c>
      <c r="AW14" s="248">
        <v>0</v>
      </c>
      <c r="AZ14" s="248" t="s">
        <v>103</v>
      </c>
      <c r="BA14" s="248" t="s">
        <v>104</v>
      </c>
    </row>
    <row r="15" spans="1:53" ht="15" customHeight="1" x14ac:dyDescent="0.25">
      <c r="B15" s="204" t="s">
        <v>154</v>
      </c>
      <c r="D15" s="244">
        <f t="shared" si="0"/>
        <v>0</v>
      </c>
      <c r="E15" s="245">
        <f>('Carga de datos'!D21)*(1+Tablero!D15)</f>
        <v>53732.073986419797</v>
      </c>
      <c r="F15" s="253">
        <v>50</v>
      </c>
      <c r="G15" s="113"/>
      <c r="H15" s="114"/>
      <c r="I15" s="58"/>
      <c r="J15" s="18"/>
      <c r="K15" s="18"/>
      <c r="M15" s="134"/>
      <c r="N15" s="134"/>
      <c r="V15" s="259">
        <v>0.6</v>
      </c>
      <c r="W15" s="248">
        <v>1</v>
      </c>
      <c r="Y15" s="248" t="s">
        <v>106</v>
      </c>
      <c r="Z15" s="248">
        <f>+COS(Z10)*-1</f>
        <v>-0.83295113021314904</v>
      </c>
      <c r="AA15" s="248">
        <f>+SIN(Z10)</f>
        <v>0.55334655928869536</v>
      </c>
      <c r="AC15" s="248" t="s">
        <v>106</v>
      </c>
      <c r="AD15" s="248">
        <f>+COS(Z11)*-1</f>
        <v>-0.7644417628618243</v>
      </c>
      <c r="AE15" s="248">
        <f>+SIN(Z11)</f>
        <v>0.64469278822762277</v>
      </c>
      <c r="AN15" s="259">
        <v>0.7</v>
      </c>
      <c r="AO15" s="248">
        <v>1</v>
      </c>
      <c r="AU15" s="248" t="s">
        <v>106</v>
      </c>
      <c r="AV15" s="248">
        <f>+COS(AS16)*-1</f>
        <v>-1</v>
      </c>
      <c r="AW15" s="248">
        <f>SIN(AS16)</f>
        <v>0</v>
      </c>
      <c r="AY15" s="248" t="s">
        <v>105</v>
      </c>
      <c r="AZ15" s="248">
        <v>0</v>
      </c>
      <c r="BA15" s="248">
        <v>0</v>
      </c>
    </row>
    <row r="16" spans="1:53" x14ac:dyDescent="0.25">
      <c r="B16" s="139" t="s">
        <v>124</v>
      </c>
      <c r="C16" s="195"/>
      <c r="D16" s="246"/>
      <c r="E16" s="247">
        <f>IF(((Tablero!E10+E11+'Carga de datos'!E11+'Carga de datos'!E12)-SUM(E12:E15))=0,"",E36/((Tablero!E10+E11+'Carga de datos'!E11+'Carga de datos'!E12)-SUM(E12:E15)))</f>
        <v>0.50503792260192459</v>
      </c>
      <c r="F16" s="28"/>
      <c r="G16" s="120"/>
      <c r="H16" s="114"/>
      <c r="I16" s="119"/>
      <c r="J16" s="18"/>
      <c r="K16" s="18"/>
      <c r="V16" s="260">
        <v>0.7</v>
      </c>
      <c r="W16" s="248">
        <v>1</v>
      </c>
      <c r="AN16" s="259">
        <v>0.8</v>
      </c>
      <c r="AO16" s="248">
        <v>1</v>
      </c>
      <c r="AQ16" s="129" t="s">
        <v>181</v>
      </c>
      <c r="AR16" s="259">
        <f>+IF(AR10&gt;160%,100%,IF(AR10&lt;100%,0%,50%))</f>
        <v>0</v>
      </c>
      <c r="AS16" s="248">
        <f>+AR16*PI()</f>
        <v>0</v>
      </c>
      <c r="AY16" s="248" t="s">
        <v>106</v>
      </c>
      <c r="AZ16" s="248">
        <f>+COS(AS19)*-1</f>
        <v>1</v>
      </c>
      <c r="BA16" s="248">
        <f>SIN(AS19)</f>
        <v>1.22514845490862E-16</v>
      </c>
    </row>
    <row r="17" spans="2:53" x14ac:dyDescent="0.25">
      <c r="B17" s="255" t="s">
        <v>179</v>
      </c>
      <c r="C17" s="66"/>
      <c r="D17" s="66"/>
      <c r="E17" s="112"/>
      <c r="F17" s="28"/>
      <c r="G17" s="117"/>
      <c r="H17" s="118"/>
      <c r="I17" s="118"/>
      <c r="V17" s="259">
        <v>0.8</v>
      </c>
      <c r="W17" s="248">
        <v>1</v>
      </c>
      <c r="Z17" s="248" t="s">
        <v>103</v>
      </c>
      <c r="AA17" s="248" t="s">
        <v>104</v>
      </c>
      <c r="AN17" s="259">
        <v>0.9</v>
      </c>
      <c r="AO17" s="248">
        <v>1</v>
      </c>
      <c r="AQ17" s="248" t="s">
        <v>97</v>
      </c>
      <c r="AR17" s="259">
        <f t="shared" ref="AR17:AR18" si="1">+IF(AR11&gt;160%,100%,IF(AR11&lt;100%,0%,50%))</f>
        <v>0</v>
      </c>
      <c r="AS17" s="248">
        <f>+AR17*PI()</f>
        <v>0</v>
      </c>
      <c r="AV17" s="248" t="s">
        <v>103</v>
      </c>
      <c r="AW17" s="248" t="s">
        <v>104</v>
      </c>
    </row>
    <row r="18" spans="2:53" ht="15" customHeight="1" x14ac:dyDescent="0.25">
      <c r="B18" s="28"/>
      <c r="C18" s="28"/>
      <c r="D18" s="28"/>
      <c r="E18" s="28"/>
      <c r="F18" s="28"/>
      <c r="G18" s="120"/>
      <c r="I18" s="180"/>
      <c r="J18" s="180"/>
      <c r="K18" s="180"/>
      <c r="L18" s="219">
        <f>+'Indicadores Empresariales'!C30</f>
        <v>0.90393866364234998</v>
      </c>
      <c r="V18" s="260">
        <v>0.9</v>
      </c>
      <c r="W18" s="248">
        <v>1</v>
      </c>
      <c r="Y18" s="248" t="s">
        <v>105</v>
      </c>
      <c r="Z18" s="248">
        <v>0</v>
      </c>
      <c r="AA18" s="248">
        <v>0</v>
      </c>
      <c r="AN18" s="259">
        <v>1</v>
      </c>
      <c r="AO18" s="248">
        <v>9</v>
      </c>
      <c r="AQ18" s="129" t="s">
        <v>182</v>
      </c>
      <c r="AR18" s="259">
        <f t="shared" si="1"/>
        <v>1</v>
      </c>
      <c r="AS18" s="248">
        <f>+AR18*PI()</f>
        <v>3.1415926535897931</v>
      </c>
      <c r="AU18" s="248" t="s">
        <v>105</v>
      </c>
      <c r="AV18" s="248">
        <v>0</v>
      </c>
      <c r="AW18" s="248">
        <v>0</v>
      </c>
    </row>
    <row r="19" spans="2:53" ht="15.75" x14ac:dyDescent="0.25">
      <c r="B19" s="127"/>
      <c r="C19" s="128"/>
      <c r="D19" s="129"/>
      <c r="E19" s="129"/>
      <c r="F19" s="28"/>
      <c r="G19" s="120"/>
      <c r="I19" s="180"/>
      <c r="J19" s="180"/>
      <c r="L19" s="95">
        <f>+'Indicadores Empresariales'!C31</f>
        <v>4.4111746258741658</v>
      </c>
      <c r="M19" s="134"/>
      <c r="N19" s="134"/>
      <c r="V19" s="259">
        <v>1</v>
      </c>
      <c r="W19" s="248">
        <v>9</v>
      </c>
      <c r="Y19" s="248" t="s">
        <v>106</v>
      </c>
      <c r="Z19" s="248">
        <f>+COS(Z12)*-1</f>
        <v>1.582643986999626E-2</v>
      </c>
      <c r="AA19" s="248">
        <f>+SIN(Z12)</f>
        <v>0.99987475405724757</v>
      </c>
      <c r="AQ19" s="129" t="s">
        <v>183</v>
      </c>
      <c r="AR19" s="259">
        <f>+IF(AR13&gt;70%,100%,IF(AR13&lt;50%,0%,50%))</f>
        <v>1</v>
      </c>
      <c r="AS19" s="248">
        <f>+AR19*PI()</f>
        <v>3.1415926535897931</v>
      </c>
      <c r="AU19" s="248" t="s">
        <v>106</v>
      </c>
      <c r="AV19" s="248">
        <f>+COS(AS17)*-1</f>
        <v>-1</v>
      </c>
      <c r="AW19" s="248">
        <f>SIN(AS17)</f>
        <v>0</v>
      </c>
    </row>
    <row r="20" spans="2:53" x14ac:dyDescent="0.25">
      <c r="B20" s="122"/>
      <c r="C20" s="28"/>
      <c r="D20" s="123"/>
      <c r="E20" s="123"/>
      <c r="F20" s="28"/>
      <c r="G20" s="120"/>
      <c r="H20" s="181"/>
      <c r="I20" s="180"/>
      <c r="J20" s="180"/>
      <c r="K20" s="180"/>
      <c r="L20" s="211">
        <f>+'Indicadores Empresariales'!C32</f>
        <v>0.74809822920710067</v>
      </c>
    </row>
    <row r="21" spans="2:53" x14ac:dyDescent="0.25">
      <c r="B21" s="122"/>
      <c r="C21" s="28"/>
      <c r="D21" s="123"/>
      <c r="E21" s="123"/>
      <c r="F21" s="28"/>
      <c r="G21" s="124"/>
      <c r="H21" s="181"/>
      <c r="I21" s="180"/>
      <c r="J21" s="180"/>
      <c r="K21" s="180"/>
      <c r="L21" s="212">
        <f>+'Indicadores Empresariales'!C33</f>
        <v>1.3367228539758564</v>
      </c>
      <c r="AN21" s="259">
        <v>0.1</v>
      </c>
      <c r="AO21" s="248">
        <v>1</v>
      </c>
    </row>
    <row r="22" spans="2:53" x14ac:dyDescent="0.25">
      <c r="B22" s="122"/>
      <c r="C22" s="28"/>
      <c r="D22" s="123"/>
      <c r="E22" s="123"/>
      <c r="F22" s="28"/>
      <c r="G22" s="121"/>
      <c r="H22" s="181"/>
      <c r="I22" s="180"/>
      <c r="J22" s="180"/>
      <c r="K22" s="180"/>
      <c r="L22" s="168">
        <f>+'Indicadores Empresariales'!C35</f>
        <v>3</v>
      </c>
      <c r="AN22" s="259">
        <v>0.2</v>
      </c>
      <c r="AO22" s="262">
        <v>1</v>
      </c>
    </row>
    <row r="23" spans="2:53" x14ac:dyDescent="0.25">
      <c r="B23" s="125"/>
      <c r="C23" s="28"/>
      <c r="D23" s="126"/>
      <c r="E23" s="126"/>
      <c r="F23" s="28"/>
      <c r="G23" s="124"/>
      <c r="H23" s="181"/>
      <c r="I23" s="180"/>
      <c r="J23" s="180"/>
      <c r="K23" s="180"/>
      <c r="L23" s="213">
        <f>+'Indicadores Empresariales'!C38</f>
        <v>967264.60281149775</v>
      </c>
      <c r="M23" s="132"/>
      <c r="N23" s="132"/>
      <c r="AN23" s="259">
        <v>0.3</v>
      </c>
      <c r="AO23" s="248">
        <v>1</v>
      </c>
    </row>
    <row r="24" spans="2:53" x14ac:dyDescent="0.25">
      <c r="B24" s="122"/>
      <c r="C24" s="28"/>
      <c r="D24" s="130"/>
      <c r="E24" s="131"/>
      <c r="F24" s="28"/>
      <c r="G24" s="28"/>
      <c r="H24" s="181"/>
      <c r="I24" s="180"/>
      <c r="J24" s="180"/>
      <c r="K24" s="180"/>
      <c r="L24" s="210" t="str">
        <f>+'Indicadores Empresariales'!C39</f>
        <v>Sin Deuda Estr.</v>
      </c>
      <c r="AN24" s="259">
        <v>0.4</v>
      </c>
      <c r="AO24" s="248">
        <v>1</v>
      </c>
      <c r="AQ24" s="248" t="s">
        <v>178</v>
      </c>
    </row>
    <row r="25" spans="2:53" x14ac:dyDescent="0.25">
      <c r="H25" s="181"/>
      <c r="I25" s="180"/>
      <c r="J25" s="180"/>
      <c r="K25" s="180"/>
      <c r="AN25" s="259">
        <v>0.5</v>
      </c>
      <c r="AO25" s="248">
        <v>1</v>
      </c>
      <c r="AQ25" s="129" t="s">
        <v>180</v>
      </c>
      <c r="AR25" s="259">
        <f>+'Indicadores Empresariales'!AI19</f>
        <v>7.3620932694522259E-2</v>
      </c>
      <c r="AS25" s="248">
        <f>+AR25*PI()</f>
        <v>0.23128698130353975</v>
      </c>
      <c r="AV25" s="248" t="s">
        <v>103</v>
      </c>
      <c r="AW25" s="248" t="s">
        <v>104</v>
      </c>
      <c r="AZ25" s="248" t="s">
        <v>103</v>
      </c>
      <c r="BA25" s="248" t="s">
        <v>104</v>
      </c>
    </row>
    <row r="26" spans="2:53" x14ac:dyDescent="0.25">
      <c r="H26" s="181"/>
      <c r="I26" s="180"/>
      <c r="J26" s="180"/>
      <c r="K26" s="180"/>
      <c r="U26" s="248"/>
      <c r="AN26" s="259">
        <v>0.6</v>
      </c>
      <c r="AO26" s="248">
        <v>1</v>
      </c>
      <c r="AQ26" s="129" t="s">
        <v>181</v>
      </c>
      <c r="AR26" s="259">
        <f>+'Indicadores Empresariales'!AI20</f>
        <v>1.6120916504097875</v>
      </c>
      <c r="AS26" s="248">
        <f>+AR26*PI()</f>
        <v>5.0645352858408339</v>
      </c>
      <c r="AU26" s="248" t="s">
        <v>105</v>
      </c>
      <c r="AV26" s="248">
        <v>0</v>
      </c>
      <c r="AW26" s="248">
        <v>0</v>
      </c>
      <c r="AY26" s="248" t="s">
        <v>105</v>
      </c>
      <c r="AZ26" s="248">
        <v>0</v>
      </c>
      <c r="BA26" s="248">
        <v>0</v>
      </c>
    </row>
    <row r="27" spans="2:53" x14ac:dyDescent="0.25">
      <c r="H27" s="180"/>
      <c r="I27" s="180"/>
      <c r="J27" s="180"/>
      <c r="K27" s="180"/>
      <c r="N27" s="18"/>
      <c r="U27" s="248"/>
      <c r="AN27" s="259">
        <v>0.7</v>
      </c>
      <c r="AO27" s="248">
        <v>1</v>
      </c>
      <c r="AQ27" s="248" t="s">
        <v>97</v>
      </c>
      <c r="AR27" s="259">
        <f>+'Indicadores Empresariales'!AI21</f>
        <v>1.432552247878685</v>
      </c>
      <c r="AS27" s="248">
        <f>+AR27*PI()</f>
        <v>4.5004956178192206</v>
      </c>
      <c r="AU27" s="248" t="s">
        <v>106</v>
      </c>
      <c r="AV27" s="248">
        <f>+COS(AS25)*-1</f>
        <v>-0.97337218592407593</v>
      </c>
      <c r="AW27" s="248">
        <f>+SIN(AS25)</f>
        <v>0.22923042483358566</v>
      </c>
      <c r="AY27" s="248" t="s">
        <v>106</v>
      </c>
      <c r="AZ27" s="248">
        <f>+COS(AS34)*-1</f>
        <v>1</v>
      </c>
      <c r="BA27" s="248">
        <f>SIN(AS34)*-1</f>
        <v>-1.22514845490862E-16</v>
      </c>
    </row>
    <row r="28" spans="2:53" x14ac:dyDescent="0.25">
      <c r="B28" s="18"/>
      <c r="C28" s="18"/>
      <c r="D28" s="18"/>
      <c r="E28" s="18"/>
      <c r="F28" s="18"/>
      <c r="G28" s="18"/>
      <c r="H28" s="18"/>
      <c r="I28" s="7"/>
      <c r="J28" s="18"/>
      <c r="K28" s="18"/>
      <c r="L28" s="18"/>
      <c r="M28" s="18"/>
      <c r="N28" s="18"/>
      <c r="O28" s="18"/>
      <c r="P28" s="18"/>
      <c r="Q28" s="18"/>
      <c r="U28" s="248"/>
      <c r="AN28" s="259">
        <v>0.8</v>
      </c>
      <c r="AO28" s="248">
        <v>1</v>
      </c>
      <c r="AQ28" s="129" t="s">
        <v>182</v>
      </c>
      <c r="AR28" s="259">
        <f>+'Indicadores Empresariales'!AI22</f>
        <v>6.8807345597288414</v>
      </c>
      <c r="AS28" s="248">
        <f>+AR28*PI()</f>
        <v>21.616465144145529</v>
      </c>
    </row>
    <row r="29" spans="2:53" ht="24" thickBot="1" x14ac:dyDescent="0.4">
      <c r="B29" s="80" t="s">
        <v>85</v>
      </c>
      <c r="C29" s="80"/>
      <c r="D29" s="81"/>
      <c r="E29" s="81"/>
      <c r="F29" s="81"/>
      <c r="G29" s="81"/>
      <c r="H29" s="81"/>
      <c r="I29" s="81"/>
      <c r="J29" s="81"/>
      <c r="K29" s="81"/>
      <c r="L29" s="81"/>
      <c r="M29" s="81"/>
      <c r="N29" s="81"/>
      <c r="O29" s="81"/>
      <c r="P29" s="81"/>
      <c r="Q29" s="81"/>
      <c r="U29" s="248"/>
      <c r="AN29" s="259">
        <v>0.9</v>
      </c>
      <c r="AO29" s="248">
        <v>1</v>
      </c>
      <c r="AQ29" s="129" t="s">
        <v>183</v>
      </c>
      <c r="AR29" s="259">
        <f>+'Indicadores Empresariales'!AI23</f>
        <v>0.80610143789289879</v>
      </c>
      <c r="AS29" s="248">
        <f>+AR29*PI()</f>
        <v>2.5324423553324995</v>
      </c>
      <c r="AV29" s="248" t="s">
        <v>103</v>
      </c>
      <c r="AW29" s="248" t="s">
        <v>104</v>
      </c>
    </row>
    <row r="30" spans="2:53" x14ac:dyDescent="0.25">
      <c r="C30" s="18"/>
      <c r="D30" s="18"/>
      <c r="E30" s="18"/>
      <c r="F30" s="18"/>
      <c r="G30" s="18"/>
      <c r="H30" s="18"/>
      <c r="I30" s="18"/>
      <c r="U30" s="248"/>
      <c r="V30" s="248" t="s">
        <v>120</v>
      </c>
      <c r="AN30" s="259">
        <v>1</v>
      </c>
      <c r="AO30" s="248">
        <v>1</v>
      </c>
      <c r="AU30" s="248" t="s">
        <v>105</v>
      </c>
      <c r="AV30" s="248">
        <v>0</v>
      </c>
      <c r="AW30" s="248">
        <v>0</v>
      </c>
      <c r="AZ30" s="248" t="s">
        <v>103</v>
      </c>
      <c r="BA30" s="248" t="s">
        <v>104</v>
      </c>
    </row>
    <row r="31" spans="2:53" ht="18.75" x14ac:dyDescent="0.25">
      <c r="B31" s="141" t="s">
        <v>118</v>
      </c>
      <c r="C31" s="138"/>
      <c r="D31" s="244">
        <f>(E31-50)/100</f>
        <v>0.5</v>
      </c>
      <c r="E31" s="252">
        <v>100</v>
      </c>
      <c r="F31" s="18"/>
      <c r="G31" s="18"/>
      <c r="H31" s="18"/>
      <c r="I31" s="18"/>
      <c r="U31" s="248"/>
      <c r="X31" s="264" t="s">
        <v>16</v>
      </c>
      <c r="Y31" s="264" t="s">
        <v>3</v>
      </c>
      <c r="Z31" s="264" t="s">
        <v>4</v>
      </c>
      <c r="AA31" s="264" t="s">
        <v>44</v>
      </c>
      <c r="AB31" s="264" t="s">
        <v>45</v>
      </c>
      <c r="AC31" s="264" t="s">
        <v>46</v>
      </c>
      <c r="AD31" s="264" t="s">
        <v>86</v>
      </c>
      <c r="AN31" s="259">
        <v>1.1000000000000001</v>
      </c>
      <c r="AO31" s="248">
        <v>1</v>
      </c>
      <c r="AU31" s="248" t="s">
        <v>106</v>
      </c>
      <c r="AV31" s="248">
        <f>+COS(AS32)*-1</f>
        <v>1</v>
      </c>
      <c r="AW31" s="248">
        <f>SIN(AS32)</f>
        <v>1.22514845490862E-16</v>
      </c>
      <c r="AY31" s="248" t="s">
        <v>105</v>
      </c>
      <c r="AZ31" s="248">
        <v>0</v>
      </c>
      <c r="BA31" s="248">
        <v>0</v>
      </c>
    </row>
    <row r="32" spans="2:53" ht="16.5" thickBot="1" x14ac:dyDescent="0.3">
      <c r="B32" s="46" t="s">
        <v>117</v>
      </c>
      <c r="C32" s="46"/>
      <c r="D32" s="46"/>
      <c r="E32" s="46"/>
      <c r="F32" s="18"/>
      <c r="G32" s="18"/>
      <c r="H32" s="18"/>
      <c r="I32" s="18"/>
      <c r="W32" s="248" t="s">
        <v>121</v>
      </c>
      <c r="X32" s="258">
        <f>+'Carga de datos'!I31</f>
        <v>0.71324393179396428</v>
      </c>
      <c r="Y32" s="258">
        <f>+'Carga de datos'!J31</f>
        <v>0</v>
      </c>
      <c r="Z32" s="258">
        <f>+'Carga de datos'!K31</f>
        <v>0</v>
      </c>
      <c r="AA32" s="258">
        <f>+'Carga de datos'!L31</f>
        <v>0.14646592998695745</v>
      </c>
      <c r="AB32" s="258">
        <f>+'Carga de datos'!M31</f>
        <v>1.7130342217607505E-2</v>
      </c>
      <c r="AC32" s="258">
        <f>+'Carga de datos'!N31</f>
        <v>4.4560672217282368E-2</v>
      </c>
      <c r="AD32" s="258">
        <f>+'Carga de datos'!O31</f>
        <v>7.8599123784188429E-2</v>
      </c>
      <c r="AN32" s="259">
        <v>1.2</v>
      </c>
      <c r="AO32" s="248">
        <v>1</v>
      </c>
      <c r="AQ32" s="129" t="s">
        <v>181</v>
      </c>
      <c r="AR32" s="259">
        <f>+IF(AR26&gt;160%,100%,IF(AR26&lt;100%,0%,50%))</f>
        <v>1</v>
      </c>
      <c r="AS32" s="248">
        <f>+AR32*PI()</f>
        <v>3.1415926535897931</v>
      </c>
      <c r="AY32" s="248" t="s">
        <v>106</v>
      </c>
      <c r="AZ32" s="248">
        <f>+COS(AS35)*-1</f>
        <v>1</v>
      </c>
      <c r="BA32" s="248">
        <f>SIN(AS35)</f>
        <v>1.22514845490862E-16</v>
      </c>
    </row>
    <row r="33" spans="1:49" ht="15.75" x14ac:dyDescent="0.25">
      <c r="B33" s="66" t="s">
        <v>0</v>
      </c>
      <c r="C33" s="66"/>
      <c r="D33" s="140"/>
      <c r="E33" s="251">
        <f>('Carga de datos'!D30+'Carga de datos'!D31)*(1+Tablero!D31)+SUM('Carga de datos'!D32:D33)</f>
        <v>1622152.7563241753</v>
      </c>
      <c r="F33" s="18"/>
      <c r="G33" s="18"/>
      <c r="H33" s="18"/>
      <c r="I33" s="18"/>
      <c r="M33" s="153"/>
      <c r="O33" s="154"/>
      <c r="P33" s="155">
        <f>+'Indicadores Empresariales'!C44</f>
        <v>0.34129675583010599</v>
      </c>
      <c r="W33" s="248" t="s">
        <v>122</v>
      </c>
      <c r="X33" s="258">
        <f>+'Carga de datos'!I32</f>
        <v>0.79686288597334043</v>
      </c>
      <c r="Y33" s="258">
        <f>+'Carga de datos'!J32</f>
        <v>0</v>
      </c>
      <c r="Z33" s="258">
        <f>+'Carga de datos'!K32</f>
        <v>0</v>
      </c>
      <c r="AA33" s="258">
        <f>+'Carga de datos'!L32</f>
        <v>0.15564846825686271</v>
      </c>
      <c r="AB33" s="258">
        <f>+'Carga de datos'!M32</f>
        <v>4.2879064331371114E-3</v>
      </c>
      <c r="AC33" s="258">
        <f>+'Carga de datos'!N32</f>
        <v>4.3200739336659695E-2</v>
      </c>
      <c r="AD33" s="258">
        <f>+'Carga de datos'!O32</f>
        <v>0</v>
      </c>
      <c r="AN33" s="259">
        <v>1.3</v>
      </c>
      <c r="AO33" s="248">
        <v>1</v>
      </c>
      <c r="AQ33" s="248" t="s">
        <v>97</v>
      </c>
      <c r="AR33" s="259">
        <f t="shared" ref="AR33:AR34" si="2">+IF(AR27&gt;160%,100%,IF(AR27&lt;100%,0%,50%))</f>
        <v>0.5</v>
      </c>
      <c r="AS33" s="248">
        <f>+AR33*PI()</f>
        <v>1.5707963267948966</v>
      </c>
      <c r="AV33" s="248" t="s">
        <v>103</v>
      </c>
      <c r="AW33" s="248" t="s">
        <v>104</v>
      </c>
    </row>
    <row r="34" spans="1:49" ht="15.75" x14ac:dyDescent="0.25">
      <c r="B34" s="66" t="s">
        <v>93</v>
      </c>
      <c r="C34" s="66"/>
      <c r="D34" s="140"/>
      <c r="E34" s="251">
        <f>+E33+SUM('Carga de datos'!D35)</f>
        <v>1622152.7563241753</v>
      </c>
      <c r="F34" s="18"/>
      <c r="G34" s="18"/>
      <c r="H34" s="18"/>
      <c r="I34" s="18"/>
      <c r="J34" s="18"/>
      <c r="M34" s="153"/>
      <c r="O34" s="154"/>
      <c r="P34" s="155">
        <f>+'Indicadores Empresariales'!C45</f>
        <v>0</v>
      </c>
      <c r="W34" s="248" t="s">
        <v>123</v>
      </c>
      <c r="X34" s="258">
        <f>+'Carga de datos'!I33</f>
        <v>0.55185922639856044</v>
      </c>
      <c r="Y34" s="258">
        <f>+'Carga de datos'!J33</f>
        <v>0</v>
      </c>
      <c r="Z34" s="258">
        <f>+'Carga de datos'!K33</f>
        <v>0</v>
      </c>
      <c r="AA34" s="258">
        <f>+'Carga de datos'!L33</f>
        <v>0.12874361752785018</v>
      </c>
      <c r="AB34" s="258">
        <f>+'Carga de datos'!M33</f>
        <v>4.1916262299675801E-2</v>
      </c>
      <c r="AC34" s="258">
        <f>+'Carga de datos'!N33</f>
        <v>4.718534469077456E-2</v>
      </c>
      <c r="AD34" s="258">
        <f>+'Carga de datos'!O33</f>
        <v>0.2302955490831394</v>
      </c>
      <c r="AN34" s="259">
        <v>1.4</v>
      </c>
      <c r="AO34" s="248">
        <v>1</v>
      </c>
      <c r="AQ34" s="129" t="s">
        <v>182</v>
      </c>
      <c r="AR34" s="259">
        <f t="shared" si="2"/>
        <v>1</v>
      </c>
      <c r="AS34" s="248">
        <f>+AR34*PI()</f>
        <v>3.1415926535897931</v>
      </c>
      <c r="AU34" s="248" t="s">
        <v>105</v>
      </c>
      <c r="AV34" s="248">
        <v>0</v>
      </c>
      <c r="AW34" s="248">
        <v>0</v>
      </c>
    </row>
    <row r="35" spans="1:49" ht="15.75" x14ac:dyDescent="0.25">
      <c r="B35" s="66" t="s">
        <v>114</v>
      </c>
      <c r="C35" s="66"/>
      <c r="D35" s="140"/>
      <c r="E35" s="251">
        <f>+E33+SUM('Carga de datos'!D37:D38)</f>
        <v>1622152.7563241753</v>
      </c>
      <c r="F35" s="18"/>
      <c r="G35" s="18"/>
      <c r="H35" s="18"/>
      <c r="I35" s="18"/>
      <c r="J35" s="18"/>
      <c r="M35" s="153"/>
      <c r="O35" s="154"/>
      <c r="P35" s="155">
        <f>+'Indicadores Empresariales'!C46</f>
        <v>1</v>
      </c>
      <c r="AN35" s="259">
        <v>1.5</v>
      </c>
      <c r="AO35" s="248">
        <v>1</v>
      </c>
      <c r="AQ35" s="129" t="s">
        <v>183</v>
      </c>
      <c r="AR35" s="259">
        <f>+IF(AR29&gt;70%,100%,IF(AR29&lt;50%,0%,50%))</f>
        <v>1</v>
      </c>
      <c r="AS35" s="248">
        <f>+AR35*PI()</f>
        <v>3.1415926535897931</v>
      </c>
      <c r="AU35" s="248" t="s">
        <v>106</v>
      </c>
      <c r="AV35" s="248">
        <f>+COS(AS33)*-1</f>
        <v>-6.1257422745431001E-17</v>
      </c>
      <c r="AW35" s="248">
        <f>SIN(AS33)</f>
        <v>1</v>
      </c>
    </row>
    <row r="36" spans="1:49" ht="15.75" x14ac:dyDescent="0.25">
      <c r="B36" s="66" t="s">
        <v>115</v>
      </c>
      <c r="C36" s="66"/>
      <c r="D36" s="140"/>
      <c r="E36" s="251">
        <f>+E35+'Carga de datos'!D40</f>
        <v>1568643.2563241753</v>
      </c>
      <c r="F36" s="18"/>
      <c r="G36" s="18"/>
      <c r="H36" s="18"/>
      <c r="I36" s="18"/>
      <c r="J36" s="18"/>
      <c r="M36" s="153"/>
      <c r="O36" s="154"/>
      <c r="P36" s="155">
        <f>+'Indicadores Empresariales'!C47</f>
        <v>0.91868770890644935</v>
      </c>
      <c r="V36" s="248" t="s">
        <v>125</v>
      </c>
      <c r="AN36" s="259">
        <v>1.6</v>
      </c>
      <c r="AO36" s="248">
        <v>1</v>
      </c>
    </row>
    <row r="37" spans="1:49" ht="15.75" x14ac:dyDescent="0.25">
      <c r="B37" s="66" t="s">
        <v>116</v>
      </c>
      <c r="C37" s="66"/>
      <c r="D37" s="140"/>
      <c r="E37" s="251">
        <f>+E36+'Carga de datos'!D42</f>
        <v>1475615.0863241754</v>
      </c>
      <c r="F37" s="18"/>
      <c r="G37" s="18"/>
      <c r="H37" s="18"/>
      <c r="I37" s="18"/>
      <c r="J37" s="18"/>
      <c r="M37" s="153"/>
      <c r="O37" s="154"/>
      <c r="P37" s="155">
        <f>+'Indicadores Empresariales'!C48</f>
        <v>8.131229109355069E-2</v>
      </c>
      <c r="X37" s="248">
        <f>+'Carga de datos'!D30+'Carga de datos'!D31</f>
        <v>1928157.6269999999</v>
      </c>
      <c r="AN37" s="259">
        <v>1.7</v>
      </c>
      <c r="AO37" s="248">
        <v>1</v>
      </c>
    </row>
    <row r="38" spans="1:49" ht="15.75" x14ac:dyDescent="0.25">
      <c r="B38" s="66" t="s">
        <v>96</v>
      </c>
      <c r="C38" s="66"/>
      <c r="D38" s="66"/>
      <c r="E38" s="251">
        <f>+E37+'Carga de datos'!D44</f>
        <v>1444898.2063241755</v>
      </c>
      <c r="M38" s="153"/>
      <c r="O38" s="154"/>
      <c r="P38" s="155">
        <f>+'Indicadores Empresariales'!C49</f>
        <v>0.15387635032822336</v>
      </c>
      <c r="W38" s="248" t="s">
        <v>128</v>
      </c>
      <c r="X38" s="248">
        <f>+'Carga de datos'!D36</f>
        <v>658073.94282417558</v>
      </c>
      <c r="Y38" s="259">
        <f>+X38/$X$37</f>
        <v>0.34129675583010599</v>
      </c>
      <c r="AN38" s="259">
        <v>1.8</v>
      </c>
      <c r="AO38" s="248">
        <v>1</v>
      </c>
    </row>
    <row r="39" spans="1:49" ht="15.75" x14ac:dyDescent="0.25">
      <c r="B39" s="66" t="s">
        <v>2</v>
      </c>
      <c r="C39" s="66"/>
      <c r="D39" s="66"/>
      <c r="E39" s="251">
        <f>+E38+'Carga de datos'!D46</f>
        <v>1359197.2063241755</v>
      </c>
      <c r="M39" s="153"/>
      <c r="O39" s="154"/>
      <c r="P39" s="155">
        <f>+'Indicadores Empresariales'!C50</f>
        <v>0.79531536882663056</v>
      </c>
      <c r="W39" s="248" t="s">
        <v>114</v>
      </c>
      <c r="X39" s="248">
        <f>+'Carga de datos'!D39</f>
        <v>658073.94282417558</v>
      </c>
      <c r="Y39" s="259">
        <f t="shared" ref="Y39:Y44" si="3">+X39/$X$37</f>
        <v>0.34129675583010599</v>
      </c>
      <c r="AN39" s="259">
        <v>1.9</v>
      </c>
      <c r="AO39" s="248">
        <v>1</v>
      </c>
    </row>
    <row r="40" spans="1:49" ht="15.75" x14ac:dyDescent="0.25">
      <c r="M40" s="153"/>
      <c r="O40" s="154"/>
      <c r="P40" s="155">
        <f>+'Indicadores Empresariales'!C51</f>
        <v>0.92123708334797949</v>
      </c>
      <c r="W40" s="248" t="s">
        <v>115</v>
      </c>
      <c r="X40" s="248">
        <f>+'Carga de datos'!D41</f>
        <v>604564.44282417558</v>
      </c>
      <c r="Y40" s="259">
        <f t="shared" si="3"/>
        <v>0.31354513467076395</v>
      </c>
      <c r="AN40" s="259">
        <v>2</v>
      </c>
      <c r="AO40" s="248">
        <v>19</v>
      </c>
    </row>
    <row r="41" spans="1:49" ht="15.75" x14ac:dyDescent="0.25">
      <c r="H41" s="6"/>
      <c r="M41" s="153"/>
      <c r="O41" s="154"/>
      <c r="P41" s="155">
        <f>+'Indicadores Empresariales'!C52</f>
        <v>5.0808280845146124E-2</v>
      </c>
      <c r="W41" s="248" t="s">
        <v>116</v>
      </c>
      <c r="X41" s="248">
        <f>+'Carga de datos'!D43</f>
        <v>511536.2728241756</v>
      </c>
      <c r="Y41" s="259">
        <f t="shared" si="3"/>
        <v>0.26529795368445552</v>
      </c>
      <c r="AN41" s="259"/>
    </row>
    <row r="42" spans="1:49" ht="15.75" x14ac:dyDescent="0.25">
      <c r="H42" s="6"/>
      <c r="M42" s="153"/>
      <c r="O42" s="154"/>
      <c r="P42" s="155">
        <f>+'Indicadores Empresariales'!C53</f>
        <v>0.14175660017260439</v>
      </c>
      <c r="W42" s="248" t="s">
        <v>96</v>
      </c>
      <c r="X42" s="248">
        <f>+'Carga de datos'!D45</f>
        <v>480819.39282417559</v>
      </c>
      <c r="Y42" s="259">
        <f t="shared" si="3"/>
        <v>0.24936726442447416</v>
      </c>
    </row>
    <row r="43" spans="1:49" x14ac:dyDescent="0.25">
      <c r="A43"/>
    </row>
    <row r="44" spans="1:49" x14ac:dyDescent="0.25">
      <c r="W44" s="248" t="s">
        <v>2</v>
      </c>
      <c r="X44" s="248">
        <f>+'Carga de datos'!D48</f>
        <v>395118.39282417559</v>
      </c>
      <c r="Y44" s="259">
        <f t="shared" si="3"/>
        <v>0.2049201721328853</v>
      </c>
    </row>
    <row r="45" spans="1:49" x14ac:dyDescent="0.25">
      <c r="B45" s="18"/>
      <c r="C45" s="18"/>
      <c r="D45" s="18"/>
      <c r="E45" s="18"/>
      <c r="F45" s="18"/>
      <c r="G45" s="18"/>
      <c r="H45" s="18"/>
      <c r="I45" s="18"/>
      <c r="J45" s="18"/>
      <c r="K45" s="18"/>
      <c r="L45" s="18"/>
      <c r="M45" s="18"/>
      <c r="N45" s="18"/>
      <c r="O45" s="18"/>
      <c r="P45" s="18"/>
      <c r="Q45" s="18"/>
      <c r="Y45" s="259"/>
    </row>
    <row r="46" spans="1:49" x14ac:dyDescent="0.25">
      <c r="B46" s="18"/>
      <c r="C46" s="18"/>
      <c r="D46" s="18"/>
      <c r="E46" s="18"/>
      <c r="F46" s="18"/>
      <c r="G46" s="18"/>
      <c r="H46" s="18"/>
      <c r="I46" s="18"/>
      <c r="J46" s="18"/>
      <c r="K46" s="18"/>
      <c r="L46" s="18"/>
      <c r="M46" s="18"/>
      <c r="N46" s="18"/>
      <c r="O46" s="18"/>
      <c r="P46" s="18"/>
      <c r="Q46" s="18"/>
      <c r="Y46" s="259"/>
    </row>
    <row r="47" spans="1:49" x14ac:dyDescent="0.25">
      <c r="B47" s="18"/>
      <c r="C47" s="18"/>
      <c r="D47" s="18"/>
      <c r="E47" s="18"/>
      <c r="F47" s="18"/>
      <c r="G47" s="18"/>
      <c r="H47" s="18"/>
      <c r="I47" s="18"/>
      <c r="J47" s="18"/>
      <c r="K47" s="18"/>
      <c r="L47" s="18"/>
      <c r="M47" s="18"/>
      <c r="N47" s="18"/>
      <c r="O47" s="18"/>
      <c r="P47" s="18"/>
      <c r="Q47" s="18"/>
      <c r="Y47" s="259"/>
    </row>
    <row r="48" spans="1:49" s="250" customFormat="1" ht="24" thickBot="1" x14ac:dyDescent="0.4">
      <c r="A48" s="26"/>
      <c r="B48" s="78" t="s">
        <v>50</v>
      </c>
      <c r="C48" s="78"/>
      <c r="D48" s="79"/>
      <c r="E48" s="79"/>
      <c r="F48" s="79"/>
      <c r="G48" s="79"/>
      <c r="H48" s="79"/>
      <c r="I48" s="79"/>
      <c r="J48" s="79"/>
      <c r="K48" s="79"/>
      <c r="L48" s="79"/>
      <c r="M48" s="79"/>
      <c r="N48" s="79"/>
      <c r="O48" s="79"/>
      <c r="P48" s="79"/>
      <c r="Q48" s="79"/>
    </row>
    <row r="49" spans="1:16" ht="15.75" thickBot="1" x14ac:dyDescent="0.3"/>
    <row r="50" spans="1:16" ht="15.75" customHeight="1" thickBot="1" x14ac:dyDescent="0.3">
      <c r="B50" s="157" t="s">
        <v>29</v>
      </c>
      <c r="C50" s="307" t="s">
        <v>2</v>
      </c>
      <c r="D50" s="307"/>
      <c r="E50" s="109" t="s">
        <v>82</v>
      </c>
      <c r="G50" s="308" t="s">
        <v>17</v>
      </c>
      <c r="H50" s="309"/>
      <c r="I50" s="310"/>
    </row>
    <row r="51" spans="1:16" ht="15" customHeight="1" thickTop="1" x14ac:dyDescent="0.25">
      <c r="B51" s="18"/>
      <c r="C51" s="18"/>
      <c r="D51" s="18"/>
      <c r="E51" s="18"/>
      <c r="G51" s="16" t="s">
        <v>39</v>
      </c>
      <c r="H51" s="12" t="s">
        <v>30</v>
      </c>
      <c r="I51" s="14" t="s">
        <v>32</v>
      </c>
    </row>
    <row r="52" spans="1:16" x14ac:dyDescent="0.25">
      <c r="B52" s="302" t="s">
        <v>42</v>
      </c>
      <c r="C52" s="303"/>
      <c r="D52" s="304">
        <f>IF('Carga de datos'!D47="Muy elástico (&gt;70%)",1,IF('Carga de datos'!D47="Elástico (50 a 70%)",2,IF('Carga de datos'!D47="Inelástico (anual)",3,IF('Carga de datos'!D47="Inelástico (mensual)",4,0))))</f>
        <v>0</v>
      </c>
      <c r="E52" s="18"/>
      <c r="G52" s="17" t="str">
        <f>+C50</f>
        <v>Crecimiento</v>
      </c>
      <c r="H52" s="13" t="s">
        <v>31</v>
      </c>
      <c r="I52" s="15" t="s">
        <v>33</v>
      </c>
    </row>
    <row r="53" spans="1:16" ht="15.75" thickBot="1" x14ac:dyDescent="0.3">
      <c r="B53" s="306">
        <f>'Carga de datos'!D47</f>
        <v>0</v>
      </c>
      <c r="C53" s="306"/>
      <c r="D53" s="305"/>
      <c r="G53" s="9">
        <f>IF(SUM(E33:E39)=0,"Sin datos",IF(C50="Res.Operativo",E35,IF(C50="Beneficio Neto",E38,IF(C50="Crecimiento",E39,"Revisar"))))</f>
        <v>1359197.2063241755</v>
      </c>
      <c r="H53" s="10" t="str">
        <f>IF('Indicadores Empresariales'!A20="","",IF('Indicadores Empresariales'!A20="B","Liquidez","Sin Liquidez"))</f>
        <v>Sin Liquidez</v>
      </c>
      <c r="I53" s="11" t="str">
        <f>IF('Indicadores Empresariales'!A23="","",IF('Indicadores Empresariales'!A23="B","Fuerte","Débil"))</f>
        <v>Fuerte</v>
      </c>
    </row>
    <row r="54" spans="1:16" x14ac:dyDescent="0.25"/>
    <row r="55" spans="1:16" ht="16.5" thickBot="1" x14ac:dyDescent="0.3">
      <c r="F55" s="8">
        <v>111</v>
      </c>
      <c r="G55" s="301" t="s">
        <v>17</v>
      </c>
      <c r="H55" s="301"/>
      <c r="I55" s="301"/>
      <c r="J55" s="160"/>
      <c r="K55" s="161" t="s">
        <v>135</v>
      </c>
      <c r="L55" s="162" t="s">
        <v>82</v>
      </c>
    </row>
    <row r="56" spans="1:16" ht="15.75" x14ac:dyDescent="0.25">
      <c r="A56" s="8">
        <f>+B56*100+C56*10+D56</f>
        <v>121</v>
      </c>
      <c r="B56" s="158">
        <f>IF(G53="Sin datos",0,IF(G53&gt;0,1,2))</f>
        <v>1</v>
      </c>
      <c r="C56" s="158">
        <f>+IF(H53="Liquidez",1,2)</f>
        <v>2</v>
      </c>
      <c r="D56" s="158">
        <f>+IF(I53="Fuerte",1,2)</f>
        <v>1</v>
      </c>
      <c r="E56" s="167" t="s">
        <v>136</v>
      </c>
      <c r="F56" s="8">
        <v>121</v>
      </c>
      <c r="G56" s="163" t="s">
        <v>5</v>
      </c>
      <c r="H56" s="163" t="s">
        <v>8</v>
      </c>
      <c r="I56" s="163" t="s">
        <v>7</v>
      </c>
      <c r="K56" s="164" t="s">
        <v>134</v>
      </c>
    </row>
    <row r="57" spans="1:16" ht="15.75" x14ac:dyDescent="0.25">
      <c r="E57" s="167" t="s">
        <v>137</v>
      </c>
      <c r="F57" s="8">
        <v>112</v>
      </c>
      <c r="G57" s="163" t="s">
        <v>5</v>
      </c>
      <c r="H57" s="165" t="s">
        <v>9</v>
      </c>
      <c r="I57" s="163" t="s">
        <v>7</v>
      </c>
      <c r="K57" s="164" t="s">
        <v>134</v>
      </c>
    </row>
    <row r="58" spans="1:16" ht="15.75" x14ac:dyDescent="0.25">
      <c r="E58" s="167" t="s">
        <v>138</v>
      </c>
      <c r="F58" s="8">
        <v>211</v>
      </c>
      <c r="G58" s="163" t="s">
        <v>5</v>
      </c>
      <c r="H58" s="163" t="s">
        <v>8</v>
      </c>
      <c r="I58" s="165" t="s">
        <v>15</v>
      </c>
      <c r="K58" s="164" t="s">
        <v>134</v>
      </c>
    </row>
    <row r="59" spans="1:16" ht="15" customHeight="1" x14ac:dyDescent="0.25">
      <c r="E59" s="167" t="s">
        <v>139</v>
      </c>
      <c r="F59" s="8">
        <v>122</v>
      </c>
      <c r="G59" s="165" t="s">
        <v>6</v>
      </c>
      <c r="H59" s="163" t="s">
        <v>8</v>
      </c>
      <c r="I59" s="163" t="s">
        <v>7</v>
      </c>
      <c r="K59" s="166" t="s">
        <v>134</v>
      </c>
      <c r="M59" s="7"/>
      <c r="N59" s="7"/>
      <c r="O59" s="7"/>
      <c r="P59" s="7"/>
    </row>
    <row r="60" spans="1:16" ht="18" customHeight="1" x14ac:dyDescent="0.25">
      <c r="B60" s="159"/>
      <c r="E60" s="167" t="s">
        <v>140</v>
      </c>
      <c r="F60" s="8">
        <v>212</v>
      </c>
      <c r="G60" s="163" t="s">
        <v>5</v>
      </c>
      <c r="H60" s="165" t="s">
        <v>9</v>
      </c>
      <c r="I60" s="165" t="s">
        <v>15</v>
      </c>
      <c r="K60" s="164" t="s">
        <v>134</v>
      </c>
    </row>
    <row r="61" spans="1:16" ht="18" customHeight="1" x14ac:dyDescent="0.25">
      <c r="E61" s="167" t="s">
        <v>141</v>
      </c>
      <c r="F61" s="8">
        <v>221</v>
      </c>
      <c r="G61" s="165" t="s">
        <v>6</v>
      </c>
      <c r="H61" s="163" t="s">
        <v>8</v>
      </c>
      <c r="I61" s="165" t="s">
        <v>15</v>
      </c>
      <c r="K61" s="164" t="s">
        <v>134</v>
      </c>
    </row>
    <row r="62" spans="1:16" ht="18" customHeight="1" x14ac:dyDescent="0.25">
      <c r="E62" s="167" t="s">
        <v>142</v>
      </c>
      <c r="F62" s="8">
        <v>222</v>
      </c>
      <c r="G62" s="165" t="s">
        <v>6</v>
      </c>
      <c r="H62" s="165" t="s">
        <v>9</v>
      </c>
      <c r="I62" s="163" t="s">
        <v>7</v>
      </c>
      <c r="K62" s="164" t="s">
        <v>134</v>
      </c>
    </row>
    <row r="63" spans="1:16" ht="18" customHeight="1" x14ac:dyDescent="0.25">
      <c r="B63" s="18"/>
      <c r="E63" s="167" t="s">
        <v>143</v>
      </c>
      <c r="G63" s="165" t="s">
        <v>6</v>
      </c>
      <c r="H63" s="165" t="s">
        <v>9</v>
      </c>
      <c r="I63" s="165" t="s">
        <v>15</v>
      </c>
      <c r="K63" s="164" t="s">
        <v>134</v>
      </c>
    </row>
    <row r="64" spans="1:16" ht="18" customHeight="1" x14ac:dyDescent="0.25">
      <c r="B64" s="18"/>
    </row>
    <row r="65" spans="2:2" ht="18" customHeight="1" x14ac:dyDescent="0.25">
      <c r="B65" s="18"/>
    </row>
    <row r="66" spans="2:2" ht="17.25" hidden="1" customHeight="1" x14ac:dyDescent="0.25">
      <c r="B66" s="18"/>
    </row>
    <row r="67" spans="2:2" ht="18" hidden="1" customHeight="1" x14ac:dyDescent="0.25">
      <c r="B67" s="18"/>
    </row>
    <row r="68" spans="2:2" ht="18" hidden="1" customHeight="1" x14ac:dyDescent="0.25">
      <c r="B68" s="18"/>
    </row>
    <row r="69" spans="2:2" hidden="1" x14ac:dyDescent="0.25">
      <c r="B69" s="7"/>
    </row>
  </sheetData>
  <sheetProtection sheet="1" objects="1" scenarios="1"/>
  <dataConsolidate>
    <dataRefs count="1">
      <dataRef ref="A7" sheet="Tablero"/>
    </dataRefs>
  </dataConsolidate>
  <mergeCells count="6">
    <mergeCell ref="G55:I55"/>
    <mergeCell ref="B52:C52"/>
    <mergeCell ref="D52:D53"/>
    <mergeCell ref="B53:C53"/>
    <mergeCell ref="C50:D50"/>
    <mergeCell ref="G50:I50"/>
  </mergeCells>
  <conditionalFormatting sqref="D31">
    <cfRule type="cellIs" dxfId="31" priority="45" operator="lessThan">
      <formula>0</formula>
    </cfRule>
    <cfRule type="cellIs" dxfId="30" priority="46" operator="greaterThan">
      <formula>0</formula>
    </cfRule>
  </conditionalFormatting>
  <conditionalFormatting sqref="D52">
    <cfRule type="iconSet" priority="44">
      <iconSet iconSet="4TrafficLights" showValue="0" reverse="1">
        <cfvo type="percent" val="0"/>
        <cfvo type="num" val="2"/>
        <cfvo type="num" val="3"/>
        <cfvo type="num" val="4"/>
      </iconSet>
    </cfRule>
  </conditionalFormatting>
  <conditionalFormatting sqref="D10">
    <cfRule type="cellIs" dxfId="29" priority="38" operator="lessThan">
      <formula>0</formula>
    </cfRule>
    <cfRule type="cellIs" dxfId="28" priority="39" operator="greaterThan">
      <formula>0</formula>
    </cfRule>
  </conditionalFormatting>
  <conditionalFormatting sqref="P34">
    <cfRule type="cellIs" dxfId="27" priority="34" operator="greaterThan">
      <formula>1</formula>
    </cfRule>
  </conditionalFormatting>
  <conditionalFormatting sqref="P35">
    <cfRule type="cellIs" dxfId="26" priority="33" operator="lessThan">
      <formula>0</formula>
    </cfRule>
  </conditionalFormatting>
  <conditionalFormatting sqref="P36">
    <cfRule type="cellIs" dxfId="25" priority="32" operator="lessThan">
      <formula>0</formula>
    </cfRule>
  </conditionalFormatting>
  <conditionalFormatting sqref="P37">
    <cfRule type="cellIs" dxfId="24" priority="31" operator="lessThan">
      <formula>0</formula>
    </cfRule>
  </conditionalFormatting>
  <conditionalFormatting sqref="P38">
    <cfRule type="cellIs" dxfId="23" priority="30" operator="greaterThan">
      <formula>1</formula>
    </cfRule>
  </conditionalFormatting>
  <conditionalFormatting sqref="P39">
    <cfRule type="cellIs" dxfId="22" priority="29" operator="lessThan">
      <formula>0</formula>
    </cfRule>
  </conditionalFormatting>
  <conditionalFormatting sqref="P40">
    <cfRule type="cellIs" dxfId="21" priority="28" operator="greaterThan">
      <formula>1</formula>
    </cfRule>
  </conditionalFormatting>
  <conditionalFormatting sqref="P41">
    <cfRule type="cellIs" dxfId="20" priority="27" operator="greaterThan">
      <formula>0.75</formula>
    </cfRule>
  </conditionalFormatting>
  <conditionalFormatting sqref="P42">
    <cfRule type="cellIs" dxfId="19" priority="26" operator="lessThan">
      <formula>0</formula>
    </cfRule>
  </conditionalFormatting>
  <conditionalFormatting sqref="H53">
    <cfRule type="cellIs" dxfId="18" priority="22" operator="equal">
      <formula>"Sin Liquidez"</formula>
    </cfRule>
    <cfRule type="cellIs" dxfId="17" priority="23" operator="equal">
      <formula>"Liquidez"</formula>
    </cfRule>
  </conditionalFormatting>
  <conditionalFormatting sqref="I53">
    <cfRule type="cellIs" dxfId="16" priority="20" operator="equal">
      <formula>"Débil"</formula>
    </cfRule>
    <cfRule type="cellIs" dxfId="15" priority="21" operator="equal">
      <formula>"Fuerte"</formula>
    </cfRule>
  </conditionalFormatting>
  <conditionalFormatting sqref="G56:G63">
    <cfRule type="expression" dxfId="14" priority="83">
      <formula>F55&lt;&gt;$A$56</formula>
    </cfRule>
  </conditionalFormatting>
  <conditionalFormatting sqref="H56:H63">
    <cfRule type="expression" dxfId="13" priority="84">
      <formula>F55&lt;&gt;$A$56</formula>
    </cfRule>
  </conditionalFormatting>
  <conditionalFormatting sqref="I56:I63">
    <cfRule type="expression" dxfId="12" priority="85">
      <formula>F55&lt;&gt;$A$56</formula>
    </cfRule>
  </conditionalFormatting>
  <conditionalFormatting sqref="K56:K63">
    <cfRule type="expression" dxfId="11" priority="19">
      <formula>F55&lt;&gt;$A$56</formula>
    </cfRule>
  </conditionalFormatting>
  <conditionalFormatting sqref="G53">
    <cfRule type="cellIs" dxfId="10" priority="16" stopIfTrue="1" operator="equal">
      <formula>"Sin datos"</formula>
    </cfRule>
    <cfRule type="cellIs" dxfId="9" priority="17" operator="lessThan">
      <formula>0</formula>
    </cfRule>
    <cfRule type="cellIs" dxfId="8" priority="18" operator="greaterThan">
      <formula>0</formula>
    </cfRule>
  </conditionalFormatting>
  <conditionalFormatting sqref="D11:D15">
    <cfRule type="cellIs" dxfId="7" priority="8" operator="lessThan">
      <formula>0</formula>
    </cfRule>
    <cfRule type="cellIs" dxfId="6" priority="9" operator="greaterThan">
      <formula>0</formula>
    </cfRule>
  </conditionalFormatting>
  <conditionalFormatting sqref="L18">
    <cfRule type="cellIs" dxfId="5" priority="4" operator="lessThan">
      <formula>1</formula>
    </cfRule>
  </conditionalFormatting>
  <conditionalFormatting sqref="L24">
    <cfRule type="cellIs" dxfId="4" priority="3" operator="equal">
      <formula>"Sin Deuda Estr."</formula>
    </cfRule>
  </conditionalFormatting>
  <conditionalFormatting sqref="L21">
    <cfRule type="expression" dxfId="3" priority="134" stopIfTrue="1">
      <formula>$L$22="Indique años"</formula>
    </cfRule>
    <cfRule type="cellIs" dxfId="2" priority="135" operator="between">
      <formula>0</formula>
      <formula>$L$22</formula>
    </cfRule>
    <cfRule type="cellIs" dxfId="1" priority="136" operator="greaterThan">
      <formula>$L$22</formula>
    </cfRule>
    <cfRule type="cellIs" dxfId="0" priority="137" operator="lessThan">
      <formula>0</formula>
    </cfRule>
  </conditionalFormatting>
  <conditionalFormatting sqref="AR10">
    <cfRule type="expression" priority="2">
      <formula>"If($AR$10&gt;100%=100%;if($AR$10&lt;160%=50%;if($AR$10&lt;100%=0%;FALSO)"</formula>
    </cfRule>
  </conditionalFormatting>
  <conditionalFormatting sqref="AR26">
    <cfRule type="expression" priority="1">
      <formula>"If($AR$10&gt;100%=100%;if($AR$10&lt;160%=50%;if($AR$10&lt;100%=0%;FALSO)"</formula>
    </cfRule>
  </conditionalFormatting>
  <dataValidations count="13">
    <dataValidation type="list" allowBlank="1" showInputMessage="1" showErrorMessage="1" sqref="C50" xr:uid="{00000000-0002-0000-0300-000000000000}">
      <formula1>"Res.Operativo,Beneficio Neto,Crecimiento"</formula1>
    </dataValidation>
    <dataValidation allowBlank="1" showInputMessage="1" showErrorMessage="1" promptTitle="NIVEL DE RESULTADO" prompt="Seleccionar a partir de que nivel de resultado se desea obtener el diagnóstico._x000a_" sqref="E50" xr:uid="{00000000-0002-0000-0300-000001000000}"/>
    <dataValidation allowBlank="1" showInputMessage="1" showErrorMessage="1" promptTitle="SITUACIÓN DE LA EMPRESA" prompt="En este cuadro se resume cuál es la situación de la empresa de acuerdo a su resultado (en cada nivel de resultado); su líquidez y si la empresa está &quot;fuerte&quot; o &quot;débil&quot; en relación al respaldo._x000a__x000a_El estado coloreado, tendrá una posible estrategia._x000a_" sqref="K55" xr:uid="{00000000-0002-0000-0300-000002000000}"/>
    <dataValidation allowBlank="1" showInputMessage="1" showErrorMessage="1" promptTitle="ESTRATEGIA" prompt="En este cuadro se resume cuál es la situación de la empresa de acuerdo a su resultado (en cada nivel de resultado); su líquidez y si la empresa está &quot;fuerte&quot; o &quot;débil&quot; en relación al respaldo._x000a__x000a_El estado coloreado, tendrá una posible estrategia." sqref="L55" xr:uid="{00000000-0002-0000-0300-000003000000}"/>
    <dataValidation allowBlank="1" showInputMessage="1" showErrorMessage="1" promptTitle="ESTRATEGIAS POSIBLES" prompt="Estrategia PREVENTIVA. Minimizar pérdidas. Si bien la empresa &quot;no tiene negocio&quot;, al tener respaldo puede buscar una alternativa para minimizar la pérdida esperando un cambio en el contexto." sqref="K59" xr:uid="{00000000-0002-0000-0300-000004000000}"/>
    <dataValidation allowBlank="1" showInputMessage="1" showErrorMessage="1" promptTitle="ESTRATEGIAS POSIBLES" prompt="Evaluar si existe una mejor alternativa de renta, o una menor exposición al riesgo (Definición de expectativas y análisis de portfolio)" sqref="K56" xr:uid="{00000000-0002-0000-0300-000005000000}"/>
    <dataValidation allowBlank="1" showInputMessage="1" showErrorMessage="1" promptTitle="ESTRATEGIAS POSIBLES" prompt="Búsqueda de financiamiento o asociación. Al contar con respaldo, la alternativa de obtener créditos no debería presentar dificultad)" sqref="K57" xr:uid="{00000000-0002-0000-0300-000006000000}"/>
    <dataValidation allowBlank="1" showInputMessage="1" showErrorMessage="1" promptTitle="ESTRATEGIA POSIBLE" prompt="Administrar el riesgo de la empresa. _x000a_La empresa tiene resultado, pero tiene riesgo de perder mucho patrimonio ante un año malo. Analizar si la máxima pérdida posible, se encuadra dentro de la definida por el perfil de riesgo de la empresa." sqref="K58" xr:uid="{00000000-0002-0000-0300-000007000000}"/>
    <dataValidation allowBlank="1" showInputMessage="1" showErrorMessage="1" promptTitle="ESTRATEGIA POSIBLE" prompt="Situación más compleja que la planteada en la Opción b, ya que la empresa no tiene respaldo y se le restringen algunas alternativas de financiamiento. Búsqueda de vías alternativas de financiamiento o de asociación (transfiriendo riesgo)" sqref="K60" xr:uid="{00000000-0002-0000-0300-000008000000}"/>
    <dataValidation allowBlank="1" showInputMessage="1" showErrorMessage="1" promptTitle="ESTRATEGIAS POSIBLES" prompt="&quot;Paro o sigo&quot; - No hay negocio y la empresa no tiene respaldo, pero teniendo liquidez el riesgo es que encare un mal negocio. Evaluar las consecuencias. Minimizar la pérdida. Resguardar del Patrimonio. Evaluar alternativas de inversión." sqref="K61" xr:uid="{00000000-0002-0000-0300-000009000000}"/>
    <dataValidation allowBlank="1" showInputMessage="1" showErrorMessage="1" promptTitle="ESTRATEGIAS POSIBLES" prompt="Empresa sin negocio y sin liquidez. La decisión pasa por minimizar pérdidas y resguardar activos, y eventualmente tratar de captar negocios que disminuyan la pérdida. Al tener respaldo decidir mantener rotaciones sustentables, equipos de trabajo, etc." sqref="K62" xr:uid="{00000000-0002-0000-0300-00000A000000}"/>
    <dataValidation allowBlank="1" showInputMessage="1" showErrorMessage="1" promptTitle="ESTRATEGIAS POSIBLES" prompt="&quot;Paro o sigo&quot;. Situación muy compleja, ya que no hay negocio, y sin respaldo es dificil conseguir liquidez, o teniendo solo acceso a financiamiento caro, que agrava la situación. Evaluar las consecuencias de que el plan previsto se concrete." sqref="K63" xr:uid="{00000000-0002-0000-0300-00000B000000}"/>
    <dataValidation allowBlank="1" showInputMessage="1" showErrorMessage="1" promptTitle="SIMULACIÓN DE INVERSIONES" prompt="Se podrán simular inversiones en los activos No Corrientes y variaciones en los Pasivos. Simulando un patrimonial al cierre._x000a__x000a_Se entiende que se pagan los activos corrientes._x000a__x000a_Ir más abajo para simular VARIACIÓN EN EL INGRESO." sqref="E9" xr:uid="{00000000-0002-0000-0300-00000C000000}"/>
  </dataValidations>
  <hyperlinks>
    <hyperlink ref="B17" location="Tablero!E31" display="Variar Ingresos" xr:uid="{ECB5C7AD-10FA-42D1-94EB-413E70EC4577}"/>
  </hyperlinks>
  <pageMargins left="0.7" right="0.7" top="0.75" bottom="0.75" header="0.3" footer="0.3"/>
  <pageSetup paperSize="9" orientation="portrait" r:id="rId1"/>
  <ignoredErrors>
    <ignoredError sqref="D10:E17"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6145" r:id="rId4" name="Scroll Bar 1">
              <controlPr locked="0" defaultSize="0" autoPict="0">
                <anchor moveWithCells="1">
                  <from>
                    <xdr:col>4</xdr:col>
                    <xdr:colOff>0</xdr:colOff>
                    <xdr:row>29</xdr:row>
                    <xdr:rowOff>161925</xdr:rowOff>
                  </from>
                  <to>
                    <xdr:col>4</xdr:col>
                    <xdr:colOff>1019175</xdr:colOff>
                    <xdr:row>31</xdr:row>
                    <xdr:rowOff>9525</xdr:rowOff>
                  </to>
                </anchor>
              </controlPr>
            </control>
          </mc:Choice>
        </mc:AlternateContent>
        <mc:AlternateContent xmlns:mc="http://schemas.openxmlformats.org/markup-compatibility/2006">
          <mc:Choice Requires="x14">
            <control shapeId="6146" r:id="rId5" name="Scroll Bar 2">
              <controlPr locked="0" defaultSize="0" autoPict="0">
                <anchor moveWithCells="1">
                  <from>
                    <xdr:col>5</xdr:col>
                    <xdr:colOff>19050</xdr:colOff>
                    <xdr:row>8</xdr:row>
                    <xdr:rowOff>180975</xdr:rowOff>
                  </from>
                  <to>
                    <xdr:col>6</xdr:col>
                    <xdr:colOff>295275</xdr:colOff>
                    <xdr:row>10</xdr:row>
                    <xdr:rowOff>28575</xdr:rowOff>
                  </to>
                </anchor>
              </controlPr>
            </control>
          </mc:Choice>
        </mc:AlternateContent>
        <mc:AlternateContent xmlns:mc="http://schemas.openxmlformats.org/markup-compatibility/2006">
          <mc:Choice Requires="x14">
            <control shapeId="6147" r:id="rId6" name="Scroll Bar 3">
              <controlPr locked="0" defaultSize="0" autoPict="0">
                <anchor moveWithCells="1">
                  <from>
                    <xdr:col>5</xdr:col>
                    <xdr:colOff>19050</xdr:colOff>
                    <xdr:row>10</xdr:row>
                    <xdr:rowOff>9525</xdr:rowOff>
                  </from>
                  <to>
                    <xdr:col>6</xdr:col>
                    <xdr:colOff>295275</xdr:colOff>
                    <xdr:row>11</xdr:row>
                    <xdr:rowOff>76200</xdr:rowOff>
                  </to>
                </anchor>
              </controlPr>
            </control>
          </mc:Choice>
        </mc:AlternateContent>
        <mc:AlternateContent xmlns:mc="http://schemas.openxmlformats.org/markup-compatibility/2006">
          <mc:Choice Requires="x14">
            <control shapeId="6154" r:id="rId7" name="Scroll Bar 10">
              <controlPr locked="0" defaultSize="0" autoPict="0">
                <anchor moveWithCells="1">
                  <from>
                    <xdr:col>5</xdr:col>
                    <xdr:colOff>19050</xdr:colOff>
                    <xdr:row>11</xdr:row>
                    <xdr:rowOff>9525</xdr:rowOff>
                  </from>
                  <to>
                    <xdr:col>6</xdr:col>
                    <xdr:colOff>295275</xdr:colOff>
                    <xdr:row>12</xdr:row>
                    <xdr:rowOff>76200</xdr:rowOff>
                  </to>
                </anchor>
              </controlPr>
            </control>
          </mc:Choice>
        </mc:AlternateContent>
        <mc:AlternateContent xmlns:mc="http://schemas.openxmlformats.org/markup-compatibility/2006">
          <mc:Choice Requires="x14">
            <control shapeId="6155" r:id="rId8" name="Scroll Bar 11">
              <controlPr locked="0" defaultSize="0" autoPict="0">
                <anchor moveWithCells="1">
                  <from>
                    <xdr:col>5</xdr:col>
                    <xdr:colOff>28575</xdr:colOff>
                    <xdr:row>12</xdr:row>
                    <xdr:rowOff>19050</xdr:rowOff>
                  </from>
                  <to>
                    <xdr:col>6</xdr:col>
                    <xdr:colOff>304800</xdr:colOff>
                    <xdr:row>13</xdr:row>
                    <xdr:rowOff>85725</xdr:rowOff>
                  </to>
                </anchor>
              </controlPr>
            </control>
          </mc:Choice>
        </mc:AlternateContent>
        <mc:AlternateContent xmlns:mc="http://schemas.openxmlformats.org/markup-compatibility/2006">
          <mc:Choice Requires="x14">
            <control shapeId="6156" r:id="rId9" name="Scroll Bar 12">
              <controlPr defaultSize="0" autoPict="0">
                <anchor moveWithCells="1">
                  <from>
                    <xdr:col>4</xdr:col>
                    <xdr:colOff>1019175</xdr:colOff>
                    <xdr:row>13</xdr:row>
                    <xdr:rowOff>47625</xdr:rowOff>
                  </from>
                  <to>
                    <xdr:col>6</xdr:col>
                    <xdr:colOff>276225</xdr:colOff>
                    <xdr:row>14</xdr:row>
                    <xdr:rowOff>104775</xdr:rowOff>
                  </to>
                </anchor>
              </controlPr>
            </control>
          </mc:Choice>
        </mc:AlternateContent>
        <mc:AlternateContent xmlns:mc="http://schemas.openxmlformats.org/markup-compatibility/2006">
          <mc:Choice Requires="x14">
            <control shapeId="6157" r:id="rId10" name="Scroll Bar 13">
              <controlPr locked="0" defaultSize="0" autoPict="0">
                <anchor moveWithCells="1">
                  <from>
                    <xdr:col>5</xdr:col>
                    <xdr:colOff>19050</xdr:colOff>
                    <xdr:row>13</xdr:row>
                    <xdr:rowOff>9525</xdr:rowOff>
                  </from>
                  <to>
                    <xdr:col>6</xdr:col>
                    <xdr:colOff>295275</xdr:colOff>
                    <xdr:row>14</xdr:row>
                    <xdr:rowOff>76200</xdr:rowOff>
                  </to>
                </anchor>
              </controlPr>
            </control>
          </mc:Choice>
        </mc:AlternateContent>
        <mc:AlternateContent xmlns:mc="http://schemas.openxmlformats.org/markup-compatibility/2006">
          <mc:Choice Requires="x14">
            <control shapeId="6158" r:id="rId11" name="Scroll Bar 14">
              <controlPr locked="0" defaultSize="0" autoPict="0">
                <anchor moveWithCells="1">
                  <from>
                    <xdr:col>5</xdr:col>
                    <xdr:colOff>19050</xdr:colOff>
                    <xdr:row>14</xdr:row>
                    <xdr:rowOff>9525</xdr:rowOff>
                  </from>
                  <to>
                    <xdr:col>6</xdr:col>
                    <xdr:colOff>295275</xdr:colOff>
                    <xdr:row>15</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Introducción</vt:lpstr>
      <vt:lpstr>Carga de datos</vt:lpstr>
      <vt:lpstr>Indicadores Empresariales</vt:lpstr>
      <vt:lpstr>Tablero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AGaldeano</dc:creator>
  <cp:lastModifiedBy>daniel almazan sendino</cp:lastModifiedBy>
  <cp:lastPrinted>2020-02-19T18:52:43Z</cp:lastPrinted>
  <dcterms:created xsi:type="dcterms:W3CDTF">2015-07-31T12:50:46Z</dcterms:created>
  <dcterms:modified xsi:type="dcterms:W3CDTF">2020-08-12T12:21:20Z</dcterms:modified>
</cp:coreProperties>
</file>